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dres.rodriguez\Desktop\SAPIENCIA 2024\Informe de Evaluación Independiente del Estado del Sistema de Control Interno\2023-2\"/>
    </mc:Choice>
  </mc:AlternateContent>
  <bookViews>
    <workbookView xWindow="0" yWindow="0" windowWidth="28800" windowHeight="12180" tabRatio="850" firstSheet="8" activeTab="8"/>
  </bookViews>
  <sheets>
    <sheet name="Instructivo" sheetId="23" r:id="rId1"/>
    <sheet name="Definiciones" sheetId="22" r:id="rId2"/>
    <sheet name="Ambiente de Control" sheetId="24" r:id="rId3"/>
    <sheet name="Evaluación de riesgos" sheetId="18" r:id="rId4"/>
    <sheet name="Actividades de control" sheetId="17" r:id="rId5"/>
    <sheet name="Info y Comunicación" sheetId="19" r:id="rId6"/>
    <sheet name="Actividades de Monitoreo" sheetId="20" r:id="rId7"/>
    <sheet name="Analisis de Resultados" sheetId="29" r:id="rId8"/>
    <sheet name="Conclusiones" sheetId="26" r:id="rId9"/>
    <sheet name="Hoja1" sheetId="28"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 localSheetId="7">#REF!</definedName>
    <definedName name="\0">#REF!</definedName>
    <definedName name="\BD" localSheetId="7">#REF!</definedName>
    <definedName name="\BD">#REF!</definedName>
    <definedName name="\BJ" localSheetId="7">#REF!</definedName>
    <definedName name="\BJ">#REF!</definedName>
    <definedName name="\BP" localSheetId="7">#REF!</definedName>
    <definedName name="\BP">#REF!</definedName>
    <definedName name="\c" localSheetId="7">[1]BDATOS!#REF!</definedName>
    <definedName name="\c">[1]BDATOS!#REF!</definedName>
    <definedName name="\CA" localSheetId="7">#REF!</definedName>
    <definedName name="\CA">#REF!</definedName>
    <definedName name="\i" localSheetId="7">#REF!</definedName>
    <definedName name="\i">#REF!</definedName>
    <definedName name="\m" localSheetId="7">#REF!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 localSheetId="7">'[3]384-Acciones Corporacion'!#REF!</definedName>
    <definedName name="_296">'[3]384-Acciones Corporacion'!#REF!</definedName>
    <definedName name="_3__123Graph_AC86W90" hidden="1">[2]WIZ!$AF$19:$AF$30</definedName>
    <definedName name="_304" localSheetId="7">'[3]384-Acciones Corporacion'!#REF!</definedName>
    <definedName name="_304">'[3]384-Acciones Corporacion'!#REF!</definedName>
    <definedName name="_312" localSheetId="7">'[3]384-Acciones Corporacion'!#REF!</definedName>
    <definedName name="_312">'[3]384-Acciones Corporacion'!#REF!</definedName>
    <definedName name="_320" localSheetId="7">'[3]384-Acciones Corporacion'!#REF!</definedName>
    <definedName name="_320">'[3]384-Acciones Corporacion'!#REF!</definedName>
    <definedName name="_336" localSheetId="7">'[3]384-Acciones Corporacion'!#REF!</definedName>
    <definedName name="_336">'[3]384-Acciones Corporacion'!#REF!</definedName>
    <definedName name="_344" localSheetId="7">'[3]384-Acciones Corporacion'!#REF!</definedName>
    <definedName name="_344">'[3]384-Acciones Corporacion'!#REF!</definedName>
    <definedName name="_352" localSheetId="7">'[3]384-Acciones Corporacion'!#REF!</definedName>
    <definedName name="_352">'[3]384-Acciones Corporacion'!#REF!</definedName>
    <definedName name="_4__123Graph_BC86W_2" hidden="1">[2]WIZ!$F$32:$F$43</definedName>
    <definedName name="_5__123Graph_BC86W30" hidden="1">[2]WIZ!$AE$32:$AE$43</definedName>
    <definedName name="_522" localSheetId="7">'[3]384-Acciones Corporacion'!#REF!</definedName>
    <definedName name="_522">'[3]384-Acciones Corporacion'!#REF!</definedName>
    <definedName name="_530" localSheetId="7">'[3]384-Acciones Corporacion'!#REF!</definedName>
    <definedName name="_530">'[3]384-Acciones Corporacion'!#REF!</definedName>
    <definedName name="_546" localSheetId="7">'[3]384-Acciones Corporacion'!#REF!</definedName>
    <definedName name="_546">'[3]384-Acciones Corporacion'!#REF!</definedName>
    <definedName name="_554" localSheetId="7">'[3]384-Acciones Corporacion'!#REF!</definedName>
    <definedName name="_554">'[3]384-Acciones Corporacion'!#REF!</definedName>
    <definedName name="_562" localSheetId="7">'[3]384-Acciones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'Actividades de control'!$C$1:$C$122</definedName>
    <definedName name="_xlnm._FilterDatabase" localSheetId="7" hidden="1">#REF!</definedName>
    <definedName name="_xlnm._FilterDatabase" localSheetId="3" hidden="1">'Evaluación de riesgos'!$C$5:$C$160</definedName>
    <definedName name="_xlnm._FilterDatabase" localSheetId="5" hidden="1">'Info y Comunicación'!$C$1:$C$138</definedName>
    <definedName name="_xlnm._FilterDatabase" hidden="1">#REF!</definedName>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Parse_Out" localSheetId="7" hidden="1">[4]B.BTA.S.VALORES!#REF!</definedName>
    <definedName name="_Parse_Out" hidden="1">[4]B.BTA.S.VALORES!#REF!</definedName>
    <definedName name="_Sort" localSheetId="7" hidden="1">#REF!</definedName>
    <definedName name="_Sort" hidden="1">#REF!</definedName>
    <definedName name="A">[5]oficial!$A$1:$H$160</definedName>
    <definedName name="A_IMPRESIÓN_IM" localSheetId="7">#REF!</definedName>
    <definedName name="A_IMPRESIÓN_IM">#REF!</definedName>
    <definedName name="A205_" localSheetId="7">#REF!</definedName>
    <definedName name="A205_">#REF!</definedName>
    <definedName name="A242_" localSheetId="7">#REF!</definedName>
    <definedName name="A242_">#REF!</definedName>
    <definedName name="A255_" localSheetId="7">#REF!</definedName>
    <definedName name="A255_">#REF!</definedName>
    <definedName name="A498_" localSheetId="7">#REF!</definedName>
    <definedName name="A498_">#REF!</definedName>
    <definedName name="A534_">#N/A</definedName>
    <definedName name="A598_" localSheetId="7">#REF!</definedName>
    <definedName name="A598_">#REF!</definedName>
    <definedName name="A641_" localSheetId="7">#REF!</definedName>
    <definedName name="A641_">#REF!</definedName>
    <definedName name="A68_" localSheetId="7">#REF!</definedName>
    <definedName name="A68_">#REF!</definedName>
    <definedName name="A784_" localSheetId="7">#REF!</definedName>
    <definedName name="A784_">#REF!</definedName>
    <definedName name="ACCIONISTASTOTAL" localSheetId="7">'[6]Oper recip'!#REF!</definedName>
    <definedName name="ACCIONISTASTOTAL">'[6]Oper recip'!#REF!</definedName>
    <definedName name="Accounts" localSheetId="7">#REF!</definedName>
    <definedName name="Accounts">#REF!</definedName>
    <definedName name="Accrual___payment_of_dividends" localSheetId="7">#REF!</definedName>
    <definedName name="Accrual___payment_of_dividends">#REF!</definedName>
    <definedName name="ACT" localSheetId="7">#REF!</definedName>
    <definedName name="ACT">#REF!</definedName>
    <definedName name="AFANT" localSheetId="7">#REF!</definedName>
    <definedName name="AFANT">#REF!</definedName>
    <definedName name="AFHOY" localSheetId="7">#REF!</definedName>
    <definedName name="AFHOY">#REF!</definedName>
    <definedName name="ahaccionistas01" localSheetId="7">#REF!</definedName>
    <definedName name="ahaccionistas01">#REF!</definedName>
    <definedName name="AJPAAG" localSheetId="7">#REF!</definedName>
    <definedName name="AJPAAG">#REF!</definedName>
    <definedName name="Anexo" localSheetId="0" hidden="1">{"'para SB'!$A$1420:$F$1479"}</definedName>
    <definedName name="Anexo" hidden="1">{"'para SB'!$A$1420:$F$1479"}</definedName>
    <definedName name="año" localSheetId="7">#REF!</definedName>
    <definedName name="año">#REF!</definedName>
    <definedName name="AÑO_A_PROCESAR" localSheetId="7">#REF!</definedName>
    <definedName name="AÑO_A_PROCESAR">#REF!</definedName>
    <definedName name="año1" localSheetId="7">#REF!</definedName>
    <definedName name="año1">#REF!</definedName>
    <definedName name="AÑOS_A_PROCESAR" localSheetId="7">#REF!</definedName>
    <definedName name="AÑOS_A_PROCESAR">#REF!</definedName>
    <definedName name="AppName" localSheetId="7">#REF!</definedName>
    <definedName name="AppName">#REF!</definedName>
    <definedName name="Área_de_impresión1" localSheetId="7">#REF!</definedName>
    <definedName name="Área_de_impresión1">#REF!</definedName>
    <definedName name="AS2DocOpenMode" hidden="1">"AS2DocumentEdit"</definedName>
    <definedName name="AS2ReportLS" hidden="1">1</definedName>
    <definedName name="AS2SyncStepLS" hidden="1">0</definedName>
    <definedName name="AS2TickmarkLS" localSheetId="7" hidden="1">#REF!</definedName>
    <definedName name="AS2TickmarkLS" hidden="1">#REF!</definedName>
    <definedName name="AS2VersionLS" hidden="1">300</definedName>
    <definedName name="ASFSD" localSheetId="7">#REF!</definedName>
    <definedName name="ASFSD">#REF!</definedName>
    <definedName name="Assertions" localSheetId="7">#REF!</definedName>
    <definedName name="Assertions">#REF!</definedName>
    <definedName name="BASE" localSheetId="7">#REF!</definedName>
    <definedName name="BASE">#REF!</definedName>
    <definedName name="BCE" localSheetId="7">#REF!</definedName>
    <definedName name="BCE">#REF!</definedName>
    <definedName name="BCEBONOS" localSheetId="7">#REF!</definedName>
    <definedName name="BCEBONOS">#REF!</definedName>
    <definedName name="BCECAMBIOS" localSheetId="7">#REF!</definedName>
    <definedName name="BCECAMBIOS">#REF!</definedName>
    <definedName name="BCEEMPRESA" localSheetId="7">#REF!</definedName>
    <definedName name="BCEEMPRESA">#REF!</definedName>
    <definedName name="BCERENTA" localSheetId="7">#REF!</definedName>
    <definedName name="BCERENTA">#REF!</definedName>
    <definedName name="BCETESOROS" localSheetId="7">#REF!</definedName>
    <definedName name="BCETESOROS">#REF!</definedName>
    <definedName name="BG_Del" hidden="1">15</definedName>
    <definedName name="BG_Ins" hidden="1">4</definedName>
    <definedName name="BG_Mod" hidden="1">6</definedName>
    <definedName name="BLOQUE" localSheetId="7">#REF!</definedName>
    <definedName name="BLOQUE">#REF!</definedName>
    <definedName name="BuiltIn_Print_Area___0" localSheetId="7">#REF!</definedName>
    <definedName name="BuiltIn_Print_Area___0">#REF!</definedName>
    <definedName name="BuiltIn_Print_Titles___0" localSheetId="7">#REF!</definedName>
    <definedName name="BuiltIn_Print_Titles___0">#REF!</definedName>
    <definedName name="CALCULO" localSheetId="7">[1]BDATOS!#REF!</definedName>
    <definedName name="CALCULO">[1]BDATOS!#REF!</definedName>
    <definedName name="CAR" localSheetId="7">#REF!</definedName>
    <definedName name="CAR">#REF!</definedName>
    <definedName name="CAVR" localSheetId="7">#REF!</definedName>
    <definedName name="CAVR">#REF!</definedName>
    <definedName name="cdtaccinistas01" localSheetId="7">#REF!</definedName>
    <definedName name="cdtaccinistas01">#REF!</definedName>
    <definedName name="CO.Otros_Cuentas" localSheetId="7">#REF!</definedName>
    <definedName name="CO.Otros_Cuentas">#REF!</definedName>
    <definedName name="CO.Otros_Monto" localSheetId="7">#REF!</definedName>
    <definedName name="CO.Otros_Monto">#REF!</definedName>
    <definedName name="CO.Riesgo_Cuentas" localSheetId="7">#REF!</definedName>
    <definedName name="CO.Riesgo_Cuentas">#REF!</definedName>
    <definedName name="CO.Riesgo_Monto" localSheetId="7">#REF!</definedName>
    <definedName name="CO.Riesgo_Monto">#REF!</definedName>
    <definedName name="CO.Tesoreria_Cuentas" localSheetId="7">#REF!</definedName>
    <definedName name="CO.Tesoreria_Cuentas">#REF!</definedName>
    <definedName name="COMP3CM" localSheetId="7">#REF!,#REF!,#REF!,#REF!,#REF!</definedName>
    <definedName name="COMP3CM">#REF!,#REF!,#REF!,#REF!,#REF!</definedName>
    <definedName name="COMP3PM" localSheetId="7">#REF!,#REF!,#REF!,#REF!</definedName>
    <definedName name="COMP3PM">#REF!,#REF!,#REF!,#REF!</definedName>
    <definedName name="COMP3PY" localSheetId="7">#REF!,#REF!,#REF!,#REF!,#REF!</definedName>
    <definedName name="COMP3PY">#REF!,#REF!,#REF!,#REF!,#REF!</definedName>
    <definedName name="COMPCM" localSheetId="7">#REF!,#REF!,#REF!,#REF!,#REF!,#REF!,#REF!</definedName>
    <definedName name="COMPCM">#REF!,#REF!,#REF!,#REF!,#REF!,#REF!,#REF!</definedName>
    <definedName name="COMPPM" localSheetId="7">#REF!,#REF!,#REF!,#REF!,#REF!,#REF!,#REF!</definedName>
    <definedName name="COMPPM">#REF!,#REF!,#REF!,#REF!,#REF!,#REF!,#REF!</definedName>
    <definedName name="COMPPY" localSheetId="7">#REF!,#REF!,#REF!,#REF!,#REF!,#REF!,#REF!,#REF!</definedName>
    <definedName name="COMPPY">#REF!,#REF!,#REF!,#REF!,#REF!,#REF!,#REF!,#REF!</definedName>
    <definedName name="con10_partic" localSheetId="7">#REF!</definedName>
    <definedName name="con10_partic">#REF!</definedName>
    <definedName name="conahdirectivos01" localSheetId="7">#REF!</definedName>
    <definedName name="conahdirectivos01">#REF!</definedName>
    <definedName name="conahojunta01" localSheetId="7">#REF!</definedName>
    <definedName name="conahojunta01">#REF!</definedName>
    <definedName name="concdtdirectivos01" localSheetId="7">#REF!</definedName>
    <definedName name="concdtdirectivos01">#REF!</definedName>
    <definedName name="concdtentidades01" localSheetId="7">#REF!</definedName>
    <definedName name="concdtentidades01">#REF!</definedName>
    <definedName name="CONGASTO" localSheetId="7">[1]BDATOS!#REF!</definedName>
    <definedName name="CONGASTO">[1]BDATOS!#REF!</definedName>
    <definedName name="conotros" localSheetId="7">#REF!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 localSheetId="7">[9]!ContAverage</definedName>
    <definedName name="ContAverage">[9]!ContAverage</definedName>
    <definedName name="CORDEN" localSheetId="7">#REF!</definedName>
    <definedName name="CORDEN">#REF!</definedName>
    <definedName name="CREDITO">[10]oficial!$H$1:$H$160</definedName>
    <definedName name="CUENTA96" localSheetId="7">#REF!</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localSheetId="7" hidden="1">[4]B.BTA.S.VALORES!#REF!</definedName>
    <definedName name="Div" hidden="1">[4]B.BTA.S.VALORES!#REF!</definedName>
    <definedName name="Divide" localSheetId="7">#REF!</definedName>
    <definedName name="Divide">#REF!</definedName>
    <definedName name="doce">'[13]Anexo-Participaciones Dic-11'!$E$22</definedName>
    <definedName name="ELIEXTRA">'[14]ELIMINA EXT'!$A$3:$Y$217</definedName>
    <definedName name="ELIFIL">[14]ELIMINA!$A$4:$AM$231</definedName>
    <definedName name="ELIMEXT" localSheetId="7">#REF!</definedName>
    <definedName name="ELIMEXT">#REF!</definedName>
    <definedName name="ELIMINA" localSheetId="7">#REF!</definedName>
    <definedName name="ELIMINA">#REF!</definedName>
    <definedName name="entidades" localSheetId="7">#REF!</definedName>
    <definedName name="entidades">#REF!</definedName>
    <definedName name="EPIANDES" localSheetId="7">#REF!</definedName>
    <definedName name="EPIANDES">#REF!</definedName>
    <definedName name="ESCRIBA" localSheetId="7">[1]BDATOS!#REF!</definedName>
    <definedName name="ESCRIBA">[1]BDATOS!#REF!</definedName>
    <definedName name="ESTADOS_FINANCIEROS_A_PROCESAR" localSheetId="7">#REF!</definedName>
    <definedName name="ESTADOS_FINANCIEROS_A_PROCESAR">#REF!</definedName>
    <definedName name="ESTCAM" localSheetId="7">#REF!</definedName>
    <definedName name="ESTCAM">#REF!</definedName>
    <definedName name="ET" localSheetId="7">#REF!</definedName>
    <definedName name="ET">#REF!</definedName>
    <definedName name="FailureActual" localSheetId="7">[9]!FailureActual</definedName>
    <definedName name="FailureActual">[9]!FailureActual</definedName>
    <definedName name="FailurePlan" localSheetId="7">[9]!FailurePlan</definedName>
    <definedName name="FailurePlan">[9]!FailurePlan</definedName>
    <definedName name="FILEXT">[14]FILIALEXT!$A$1:$L$4091</definedName>
    <definedName name="FILIAL">[14]FILIAL!$A$3:$AE$5414</definedName>
    <definedName name="FleetAdj" localSheetId="7">[9]!FleetAdj</definedName>
    <definedName name="FleetAdj">[9]!FleetAdj</definedName>
    <definedName name="FleetNoAdj" localSheetId="7">[9]!FleetNoAdj</definedName>
    <definedName name="FleetNoAdj">[9]!FleetNoAdj</definedName>
    <definedName name="GastosRegionales_Monto">'[15]Gastos regionales'!$G$8:$G$47</definedName>
    <definedName name="gorr">"Botón 17"</definedName>
    <definedName name="HTML_CodePage" hidden="1">1252</definedName>
    <definedName name="HTML_Control" localSheetId="0" hidden="1">{"'para SB'!$A$1420:$F$1479"}</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 localSheetId="7">#REF!</definedName>
    <definedName name="INDI">#REF!</definedName>
    <definedName name="INDICACART" localSheetId="7">#REF!</definedName>
    <definedName name="INDICACART">#REF!</definedName>
    <definedName name="INVER" localSheetId="7">#REF!</definedName>
    <definedName name="INVER">#REF!</definedName>
    <definedName name="junio111" localSheetId="7">#REF!</definedName>
    <definedName name="junio111">#REF!</definedName>
    <definedName name="JUNTA" localSheetId="7">#REF!</definedName>
    <definedName name="JUNTA">#REF!</definedName>
    <definedName name="JUNTA1" localSheetId="7">#REF!</definedName>
    <definedName name="JUNTA1">#REF!</definedName>
    <definedName name="LLPModel" localSheetId="7">[16]!LLPModel</definedName>
    <definedName name="LLPModel">[16]!LLPModel</definedName>
    <definedName name="MATRIZ">[17]MATRIZ!$A$7:$BY$4664</definedName>
    <definedName name="MC.PL_Cuentas" localSheetId="7">#REF!</definedName>
    <definedName name="MC.PL_Cuentas">#REF!</definedName>
    <definedName name="MC.PL_Monto" localSheetId="7">#REF!</definedName>
    <definedName name="MC.PL_Monto">#REF!</definedName>
    <definedName name="MESANT" localSheetId="7">#REF!</definedName>
    <definedName name="MESANT">#REF!</definedName>
    <definedName name="MESES">'[18]7'!$AL$3:$AL$7</definedName>
    <definedName name="MESHOY" localSheetId="7">#REF!</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 localSheetId="7">#REF!</definedName>
    <definedName name="MultiSelectNames">#REF!</definedName>
    <definedName name="Nivel" localSheetId="7">#REF!</definedName>
    <definedName name="Nivel">#REF!</definedName>
    <definedName name="NOPUC" localSheetId="7">#REF!</definedName>
    <definedName name="NOPUC">#REF!</definedName>
    <definedName name="OFI">[10]oficial!$A$1:$H$160</definedName>
    <definedName name="ORDEN1" localSheetId="7">#REF!</definedName>
    <definedName name="ORDEN1">#REF!</definedName>
    <definedName name="ORDEN2" localSheetId="7">#REF!</definedName>
    <definedName name="ORDEN2">#REF!</definedName>
    <definedName name="ORDEN3" localSheetId="7">#REF!</definedName>
    <definedName name="ORDEN3">#REF!</definedName>
    <definedName name="ORDEN4" localSheetId="7">#REF!</definedName>
    <definedName name="ORDEN4">#REF!</definedName>
    <definedName name="ORDEN5" localSheetId="7">#REF!</definedName>
    <definedName name="ORDEN5">#REF!</definedName>
    <definedName name="ORDEN6" localSheetId="7">#REF!</definedName>
    <definedName name="ORDEN6">#REF!</definedName>
    <definedName name="p">'[19]Participación Accionaria Junio '!$K$11</definedName>
    <definedName name="PAS" localSheetId="7">#REF!</definedName>
    <definedName name="PAS">#REF!</definedName>
    <definedName name="PAT" localSheetId="7">#REF!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 localSheetId="7">#REF!</definedName>
    <definedName name="PRES">#REF!</definedName>
    <definedName name="PRES1" localSheetId="7">#REF!</definedName>
    <definedName name="PRES1">#REF!</definedName>
    <definedName name="Presup" localSheetId="7">SUMIF([22]DATA!$H$1:$H$65536,#REF!&amp;"-"&amp;#REF!&amp;"-"&amp;MONTH(#REF!),[22]DATA!$G$1:$G$65536)</definedName>
    <definedName name="Presup">SUMIF([22]DATA!$H$1:$H$65536,#REF!&amp;"-"&amp;#REF!&amp;"-"&amp;MONTH(#REF!),[22]DATA!$G$1:$G$65536)</definedName>
    <definedName name="Print_Area" localSheetId="7">#REF!</definedName>
    <definedName name="Print_Area" localSheetId="8">Conclusiones!$A$1:$P$38</definedName>
    <definedName name="Print_Area">#REF!</definedName>
    <definedName name="ProductivityWith" localSheetId="7">[9]!ProductivityWith</definedName>
    <definedName name="ProductivityWith">[9]!ProductivityWith</definedName>
    <definedName name="ProductivityWithout" localSheetId="7">[9]!ProductivityWithout</definedName>
    <definedName name="ProductivityWithout">[9]!ProductivityWithout</definedName>
    <definedName name="PUC" localSheetId="7">#REF!</definedName>
    <definedName name="PUC">#REF!</definedName>
    <definedName name="PYG" localSheetId="7">#REF!</definedName>
    <definedName name="PYG">#REF!</definedName>
    <definedName name="PYGBONOS" localSheetId="7">#REF!</definedName>
    <definedName name="PYGBONOS">#REF!</definedName>
    <definedName name="PYGCAMBIOS" localSheetId="7">#REF!</definedName>
    <definedName name="PYGCAMBIOS">#REF!</definedName>
    <definedName name="PYGRENTA" localSheetId="7">#REF!</definedName>
    <definedName name="PYGRENTA">#REF!</definedName>
    <definedName name="PYGTESOROS" localSheetId="7">#REF!</definedName>
    <definedName name="PYGTESOROS">#REF!</definedName>
    <definedName name="qeq">SUMIF([7]DATA1!$B$1:$B$65536,[8]Octubre!$C1,[7]DATA1!XFA$1:XFA$65536)</definedName>
    <definedName name="ref_contr" localSheetId="7">#REF!</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localSheetId="0" hidden="1">{"'Sheet1'!$A$1:$F$179"}</definedName>
    <definedName name="ro" hidden="1">{"'Sheet1'!$A$1:$F$179"}</definedName>
    <definedName name="rod" localSheetId="0" hidden="1">{"'Sheet1'!$A$1:$F$179"}</definedName>
    <definedName name="rod" hidden="1">{"'Sheet1'!$A$1:$F$179"}</definedName>
    <definedName name="rodirgo" localSheetId="0" hidden="1">{"'Sheet1'!$A$1:$F$179"}</definedName>
    <definedName name="rodirgo" hidden="1">{"'Sheet1'!$A$1:$F$179"}</definedName>
    <definedName name="Saldo">SUMIF([7]DATA2!XFB$1:XFB$65536,[8]Octubre!$C1,[7]DATA2!A$1:A$65536)</definedName>
    <definedName name="sdaf" localSheetId="0" hidden="1">{"'para SB'!$A$1420:$F$1479"}</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 localSheetId="7">#REF!</definedName>
    <definedName name="TestTypes">#REF!</definedName>
    <definedName name="TextRefCopyRangeCount" hidden="1">1</definedName>
    <definedName name="Títulos_a_imprimir_IM" localSheetId="7">#REF!,#REF!</definedName>
    <definedName name="Títulos_a_imprimir_IM">#REF!,#REF!</definedName>
    <definedName name="TOTAL" localSheetId="7">#REF!</definedName>
    <definedName name="TOTAL">#REF!</definedName>
    <definedName name="Total_Contagio">SUMIF([7]DATA1!$B$1:$B$65536,[8]Octubre!$C1,[7]DATA1!K$1:K$65536)</definedName>
    <definedName name="Total_Mora">SUMIF([7]DATA1!$B$1:$B$65536,[8]Octubre!$C1,[7]DATA1!K$1:K$65536)</definedName>
    <definedName name="TypesOfTransaction" localSheetId="7">#REF!</definedName>
    <definedName name="TypesOfTransaction">#REF!</definedName>
    <definedName name="uno">'[13]Anexo-Participaciones Dic-11'!$E$9</definedName>
    <definedName name="utilidad" localSheetId="7">'[6]Estado de Resultados'!#REF!</definedName>
    <definedName name="utilidad">'[6]Estado de Resultados'!#REF!</definedName>
    <definedName name="VALID" localSheetId="7">#REF!</definedName>
    <definedName name="VALID">#REF!</definedName>
    <definedName name="VALOR" localSheetId="0" hidden="1">{#N/A,#N/A,FALSE,"ANEXO1";"ACTIVO",#N/A,FALSE,"ANEXO1";"PASIVO",#N/A,FALSE,"ANEXO1";"G Y P",#N/A,FALSE,"ANEXO1"}</definedName>
    <definedName name="VALOR" hidden="1">{#N/A,#N/A,FALSE,"ANEXO1";"ACTIVO",#N/A,FALSE,"ANEXO1";"PASIVO",#N/A,FALSE,"ANEXO1";"G Y P",#N/A,FALSE,"ANEXO1"}</definedName>
    <definedName name="veinticuatro" localSheetId="7">#REF!</definedName>
    <definedName name="veinticuatro">#REF!</definedName>
    <definedName name="veintidos" localSheetId="7">#REF!</definedName>
    <definedName name="veintidos">#REF!</definedName>
    <definedName name="veintitres" localSheetId="7">#REF!</definedName>
    <definedName name="veintitres">#REF!</definedName>
    <definedName name="veintiuno" localSheetId="7">#REF!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localSheetId="0" hidden="1">{#N/A,#N/A,FALSE,"ANEXO1";"ACTIVO",#N/A,FALSE,"ANEXO1";"PASIVO",#N/A,FALSE,"ANEXO1";"G Y P",#N/A,FALSE,"ANEXO1"}</definedName>
    <definedName name="wrn.CONSOLIDADO." hidden="1">{#N/A,#N/A,FALSE,"ANEXO1";"ACTIVO",#N/A,FALSE,"ANEXO1";"PASIVO",#N/A,FALSE,"ANEXO1";"G Y P",#N/A,FALSE,"ANEXO1"}</definedName>
    <definedName name="ws" localSheetId="0" hidden="1">{"'Sheet1'!$A$1:$F$179"}</definedName>
    <definedName name="ws" hidden="1">{"'Sheet1'!$A$1:$F$179"}</definedName>
    <definedName name="XXX" localSheetId="7">#REF!</definedName>
    <definedName name="X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B24" i="24" l="1"/>
  <c r="B54" i="28"/>
  <c r="B53" i="28"/>
  <c r="B19" i="28"/>
  <c r="K127" i="20"/>
  <c r="L127" i="20" s="1"/>
  <c r="K119" i="20"/>
  <c r="L119" i="20" s="1"/>
  <c r="K111" i="20"/>
  <c r="L111" i="20" s="1"/>
  <c r="K103" i="20"/>
  <c r="L103" i="20" s="1"/>
  <c r="K95" i="20"/>
  <c r="L95" i="20" s="1"/>
  <c r="K87" i="20"/>
  <c r="L87" i="20" s="1"/>
  <c r="K79" i="20"/>
  <c r="L79" i="20" s="1"/>
  <c r="K71" i="20"/>
  <c r="L71" i="20" s="1"/>
  <c r="K63" i="20"/>
  <c r="L63" i="20" s="1"/>
  <c r="K52" i="20"/>
  <c r="L52" i="20" s="1"/>
  <c r="K44" i="20"/>
  <c r="L44" i="20" s="1"/>
  <c r="K36" i="20"/>
  <c r="L36" i="20" s="1"/>
  <c r="K28" i="20"/>
  <c r="L28" i="20" s="1"/>
  <c r="K20" i="20"/>
  <c r="L20" i="20" s="1"/>
  <c r="K131" i="19"/>
  <c r="L131" i="19" s="1"/>
  <c r="K123" i="19"/>
  <c r="L123" i="19" s="1"/>
  <c r="K115" i="19"/>
  <c r="L115" i="19" s="1"/>
  <c r="K107" i="19"/>
  <c r="L107" i="19" s="1"/>
  <c r="K99" i="19"/>
  <c r="L99" i="19" s="1"/>
  <c r="K91" i="19"/>
  <c r="L91" i="19" s="1"/>
  <c r="K79" i="19"/>
  <c r="L79" i="19" s="1"/>
  <c r="K71" i="19"/>
  <c r="L71" i="19" s="1"/>
  <c r="K63" i="19"/>
  <c r="L63" i="19" s="1"/>
  <c r="K55" i="19"/>
  <c r="L55" i="19" s="1"/>
  <c r="K43" i="19"/>
  <c r="L43" i="19" s="1"/>
  <c r="K35" i="19"/>
  <c r="L35" i="19" s="1"/>
  <c r="K27" i="19"/>
  <c r="L27" i="19" s="1"/>
  <c r="K19" i="19"/>
  <c r="L19" i="19" s="1"/>
  <c r="K115" i="17"/>
  <c r="K107" i="17"/>
  <c r="L107" i="17" s="1"/>
  <c r="K99" i="17"/>
  <c r="L99" i="17" s="1"/>
  <c r="K91" i="17"/>
  <c r="L91" i="17" s="1"/>
  <c r="K83" i="17"/>
  <c r="L83" i="17" s="1"/>
  <c r="K72" i="17"/>
  <c r="L72" i="17" s="1"/>
  <c r="K64" i="17"/>
  <c r="L64" i="17" s="1"/>
  <c r="K56" i="17"/>
  <c r="L56" i="17" s="1"/>
  <c r="K48" i="17"/>
  <c r="L48" i="17" s="1"/>
  <c r="K37" i="17"/>
  <c r="L37" i="17" s="1"/>
  <c r="K29" i="17"/>
  <c r="L29" i="17" s="1"/>
  <c r="K21" i="17"/>
  <c r="L21" i="17" s="1"/>
  <c r="K153" i="18"/>
  <c r="L153" i="18" s="1"/>
  <c r="N153" i="18" s="1"/>
  <c r="K145" i="18"/>
  <c r="L145" i="18" s="1"/>
  <c r="N145" i="18" s="1"/>
  <c r="K137" i="18"/>
  <c r="L137" i="18" s="1"/>
  <c r="N137" i="18" s="1"/>
  <c r="K129" i="18"/>
  <c r="L129" i="18" s="1"/>
  <c r="N129" i="18" s="1"/>
  <c r="K121" i="18"/>
  <c r="K110" i="18"/>
  <c r="L110" i="18" s="1"/>
  <c r="N110" i="18" s="1"/>
  <c r="K102" i="18"/>
  <c r="L102" i="18" s="1"/>
  <c r="N102" i="18" s="1"/>
  <c r="K94" i="18"/>
  <c r="L94" i="18" s="1"/>
  <c r="N94" i="18" s="1"/>
  <c r="K86" i="18"/>
  <c r="L86" i="18" s="1"/>
  <c r="N86" i="18" s="1"/>
  <c r="K75" i="18"/>
  <c r="L75" i="18" s="1"/>
  <c r="N75" i="18" s="1"/>
  <c r="K67" i="18"/>
  <c r="L67" i="18" s="1"/>
  <c r="N67" i="18" s="1"/>
  <c r="K59" i="18"/>
  <c r="L59" i="18" s="1"/>
  <c r="N59" i="18" s="1"/>
  <c r="K51" i="18"/>
  <c r="L51" i="18" s="1"/>
  <c r="N51" i="18" s="1"/>
  <c r="K43" i="18"/>
  <c r="L43" i="18" s="1"/>
  <c r="N43" i="18" s="1"/>
  <c r="K32" i="18"/>
  <c r="L32" i="18" s="1"/>
  <c r="N32" i="18" s="1"/>
  <c r="K24" i="18"/>
  <c r="L24" i="18" s="1"/>
  <c r="N24" i="18" s="1"/>
  <c r="K16" i="18"/>
  <c r="L16" i="18" s="1"/>
  <c r="N16" i="18" s="1"/>
  <c r="K228" i="24"/>
  <c r="L228" i="24" s="1"/>
  <c r="N228" i="24" s="1"/>
  <c r="K220" i="24"/>
  <c r="L220" i="24" s="1"/>
  <c r="N220" i="24" s="1"/>
  <c r="K212" i="24"/>
  <c r="L212" i="24" s="1"/>
  <c r="N212" i="24" s="1"/>
  <c r="K204" i="24"/>
  <c r="L204" i="24" s="1"/>
  <c r="N204" i="24" s="1"/>
  <c r="K196" i="24"/>
  <c r="L196" i="24" s="1"/>
  <c r="N196" i="24" s="1"/>
  <c r="K188" i="24"/>
  <c r="L188" i="24" s="1"/>
  <c r="N188" i="24" s="1"/>
  <c r="K177" i="24"/>
  <c r="L177" i="24" s="1"/>
  <c r="N177" i="24" s="1"/>
  <c r="K169" i="24"/>
  <c r="L169" i="24" s="1"/>
  <c r="N169" i="24" s="1"/>
  <c r="K161" i="24"/>
  <c r="L161" i="24" s="1"/>
  <c r="N161" i="24" s="1"/>
  <c r="K153" i="24"/>
  <c r="L153" i="24" s="1"/>
  <c r="N153" i="24" s="1"/>
  <c r="K145" i="24"/>
  <c r="L145" i="24" s="1"/>
  <c r="N145" i="24" s="1"/>
  <c r="K137" i="24"/>
  <c r="L137" i="24" s="1"/>
  <c r="N137" i="24" s="1"/>
  <c r="K129" i="24"/>
  <c r="L129" i="24" s="1"/>
  <c r="N129" i="24" s="1"/>
  <c r="K118" i="24"/>
  <c r="L118" i="24" s="1"/>
  <c r="N118" i="24" s="1"/>
  <c r="K110" i="24"/>
  <c r="L110" i="24" s="1"/>
  <c r="N110" i="24" s="1"/>
  <c r="K102" i="24"/>
  <c r="L102" i="24" s="1"/>
  <c r="N102" i="24" s="1"/>
  <c r="K91" i="24"/>
  <c r="L91" i="24" s="1"/>
  <c r="N91" i="24" s="1"/>
  <c r="K83" i="24"/>
  <c r="L83" i="24" s="1"/>
  <c r="N83" i="24" s="1"/>
  <c r="K75" i="24"/>
  <c r="L75" i="24" s="1"/>
  <c r="N75" i="24" s="1"/>
  <c r="K64" i="24"/>
  <c r="L64" i="24" s="1"/>
  <c r="N64" i="24" s="1"/>
  <c r="K56" i="24"/>
  <c r="L56" i="24" s="1"/>
  <c r="N56" i="24" s="1"/>
  <c r="K48" i="24"/>
  <c r="L48" i="24" s="1"/>
  <c r="N48" i="24" s="1"/>
  <c r="K40" i="24"/>
  <c r="L40" i="24" s="1"/>
  <c r="N40" i="24" s="1"/>
  <c r="K32" i="24"/>
  <c r="L32" i="24" s="1"/>
  <c r="N32" i="24" s="1"/>
  <c r="K24" i="24"/>
  <c r="B6" i="28" l="1"/>
  <c r="B81" i="28" l="1"/>
  <c r="B82" i="28"/>
  <c r="B119" i="20"/>
  <c r="B111" i="20"/>
  <c r="B107" i="17"/>
  <c r="B99" i="17"/>
  <c r="B169" i="24"/>
  <c r="B56" i="24"/>
  <c r="B32" i="24"/>
  <c r="L115" i="17"/>
  <c r="L121" i="18"/>
  <c r="N121" i="18" s="1"/>
  <c r="K2" i="28" l="1"/>
  <c r="L2" i="28"/>
  <c r="N99" i="17"/>
  <c r="N107" i="17"/>
  <c r="N111" i="20"/>
  <c r="N119" i="20"/>
  <c r="G2" i="28"/>
  <c r="M2" i="28" l="1"/>
  <c r="N127" i="20"/>
  <c r="N103" i="20"/>
  <c r="N95" i="20"/>
  <c r="N87" i="20"/>
  <c r="N79" i="20"/>
  <c r="N71" i="20"/>
  <c r="N63" i="20"/>
  <c r="N52" i="20"/>
  <c r="N44" i="20"/>
  <c r="N36" i="20"/>
  <c r="N28" i="20"/>
  <c r="N20" i="20"/>
  <c r="N131" i="19"/>
  <c r="N123" i="19"/>
  <c r="N115" i="19"/>
  <c r="N107" i="19"/>
  <c r="N99" i="19"/>
  <c r="N91" i="19"/>
  <c r="N79" i="19"/>
  <c r="N71" i="19"/>
  <c r="N63" i="19"/>
  <c r="N55" i="19"/>
  <c r="N43" i="19"/>
  <c r="N35" i="19"/>
  <c r="N27" i="19"/>
  <c r="N115" i="17"/>
  <c r="N91" i="17"/>
  <c r="N83" i="17"/>
  <c r="N72" i="17"/>
  <c r="N64" i="17"/>
  <c r="N56" i="17"/>
  <c r="N48" i="17"/>
  <c r="N37" i="17"/>
  <c r="N29" i="17"/>
  <c r="N21" i="17"/>
  <c r="B52" i="20" l="1"/>
  <c r="B44" i="20"/>
  <c r="B115" i="17" l="1"/>
  <c r="B91" i="17"/>
  <c r="B44" i="28"/>
  <c r="B45" i="28"/>
  <c r="B46" i="28"/>
  <c r="B47" i="28"/>
  <c r="B48" i="28"/>
  <c r="B49" i="28"/>
  <c r="B50" i="28"/>
  <c r="B51" i="28"/>
  <c r="B52"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43" i="28"/>
  <c r="B127" i="20"/>
  <c r="B103" i="20"/>
  <c r="B95" i="20"/>
  <c r="B87" i="20"/>
  <c r="B79" i="20"/>
  <c r="B71" i="20"/>
  <c r="B63" i="20"/>
  <c r="B36" i="20"/>
  <c r="B28" i="20"/>
  <c r="B20" i="20"/>
  <c r="B131" i="19"/>
  <c r="B123" i="19"/>
  <c r="B115" i="19"/>
  <c r="B107" i="19"/>
  <c r="B99" i="19"/>
  <c r="B91" i="19"/>
  <c r="B79" i="19"/>
  <c r="B71" i="19"/>
  <c r="B63" i="19"/>
  <c r="B55" i="19"/>
  <c r="B43" i="19"/>
  <c r="B35" i="19"/>
  <c r="B27" i="19"/>
  <c r="B19" i="19"/>
  <c r="B83" i="17"/>
  <c r="B72" i="17"/>
  <c r="B64" i="17"/>
  <c r="B56" i="17"/>
  <c r="B48" i="17"/>
  <c r="B37" i="17"/>
  <c r="B29" i="17"/>
  <c r="B21" i="17"/>
  <c r="B26" i="28"/>
  <c r="B27" i="28"/>
  <c r="B28" i="28"/>
  <c r="B29" i="28"/>
  <c r="B30" i="28"/>
  <c r="B31" i="28"/>
  <c r="B32" i="28"/>
  <c r="B33" i="28"/>
  <c r="B34" i="28"/>
  <c r="B35" i="28"/>
  <c r="B36" i="28"/>
  <c r="B37" i="28"/>
  <c r="B38" i="28"/>
  <c r="B39" i="28"/>
  <c r="B40" i="28"/>
  <c r="B41" i="28"/>
  <c r="B42" i="28"/>
  <c r="B153" i="18"/>
  <c r="B145" i="18"/>
  <c r="B137" i="18"/>
  <c r="B129" i="18"/>
  <c r="B121" i="18"/>
  <c r="B110" i="18"/>
  <c r="B102" i="18"/>
  <c r="B94" i="18"/>
  <c r="B86" i="18"/>
  <c r="B75" i="18"/>
  <c r="B67" i="18"/>
  <c r="B59" i="18"/>
  <c r="B51" i="18"/>
  <c r="B43" i="18"/>
  <c r="B32" i="18"/>
  <c r="B24" i="18"/>
  <c r="B16" i="18"/>
  <c r="K42" i="28" l="1"/>
  <c r="K41" i="28"/>
  <c r="K40" i="28"/>
  <c r="K39" i="28"/>
  <c r="K38" i="28"/>
  <c r="K37" i="28"/>
  <c r="K36" i="28"/>
  <c r="K35" i="28"/>
  <c r="K34" i="28"/>
  <c r="K33" i="28"/>
  <c r="K32" i="28"/>
  <c r="K31" i="28"/>
  <c r="K30" i="28"/>
  <c r="K29" i="28"/>
  <c r="K28" i="28"/>
  <c r="K27" i="28"/>
  <c r="K26" i="28"/>
  <c r="L42" i="28"/>
  <c r="L41" i="28"/>
  <c r="L40" i="28"/>
  <c r="L39" i="28"/>
  <c r="L38" i="28"/>
  <c r="L37" i="28"/>
  <c r="L36" i="28"/>
  <c r="L35" i="28"/>
  <c r="L34" i="28"/>
  <c r="L33" i="28"/>
  <c r="L32" i="28"/>
  <c r="L31" i="28"/>
  <c r="L30" i="28"/>
  <c r="L29" i="28"/>
  <c r="L28" i="28"/>
  <c r="L27" i="28"/>
  <c r="L26" i="28"/>
  <c r="L54" i="28"/>
  <c r="L53" i="28"/>
  <c r="L52" i="28"/>
  <c r="L51" i="28"/>
  <c r="L50" i="28"/>
  <c r="L49" i="28"/>
  <c r="L48" i="28"/>
  <c r="L47" i="28"/>
  <c r="L46" i="28"/>
  <c r="L45" i="28"/>
  <c r="L44" i="28"/>
  <c r="L43" i="28"/>
  <c r="K54" i="28"/>
  <c r="K53" i="28"/>
  <c r="K52" i="28"/>
  <c r="K51" i="28"/>
  <c r="K50" i="28"/>
  <c r="K49" i="28"/>
  <c r="K48" i="28"/>
  <c r="K47" i="28"/>
  <c r="K46" i="28"/>
  <c r="K45" i="28"/>
  <c r="K44" i="28"/>
  <c r="K43" i="28"/>
  <c r="C54" i="28"/>
  <c r="E54" i="28"/>
  <c r="F54" i="28"/>
  <c r="G54" i="28"/>
  <c r="C53" i="28"/>
  <c r="E53" i="28"/>
  <c r="F53" i="28"/>
  <c r="G53" i="28"/>
  <c r="L68" i="28"/>
  <c r="L67" i="28"/>
  <c r="L66" i="28"/>
  <c r="L65" i="28"/>
  <c r="L64" i="28"/>
  <c r="L63" i="28"/>
  <c r="L62" i="28"/>
  <c r="L61" i="28"/>
  <c r="L60" i="28"/>
  <c r="L59" i="28"/>
  <c r="L58" i="28"/>
  <c r="L57" i="28"/>
  <c r="L56" i="28"/>
  <c r="L55" i="28"/>
  <c r="K68" i="28"/>
  <c r="K67" i="28"/>
  <c r="K66" i="28"/>
  <c r="K65" i="28"/>
  <c r="K64" i="28"/>
  <c r="K63" i="28"/>
  <c r="K62" i="28"/>
  <c r="K61" i="28"/>
  <c r="K60" i="28"/>
  <c r="K59" i="28"/>
  <c r="K58" i="28"/>
  <c r="K57" i="28"/>
  <c r="K56" i="28"/>
  <c r="K55" i="28"/>
  <c r="L82" i="28"/>
  <c r="L81" i="28"/>
  <c r="L80" i="28"/>
  <c r="L79" i="28"/>
  <c r="L78" i="28"/>
  <c r="L77" i="28"/>
  <c r="L76" i="28"/>
  <c r="L75" i="28"/>
  <c r="L74" i="28"/>
  <c r="L73" i="28"/>
  <c r="L72" i="28"/>
  <c r="L71" i="28"/>
  <c r="L70" i="28"/>
  <c r="L69" i="28"/>
  <c r="K82" i="28"/>
  <c r="K81" i="28"/>
  <c r="K80" i="28"/>
  <c r="K79" i="28"/>
  <c r="K78" i="28"/>
  <c r="K77" i="28"/>
  <c r="K76" i="28"/>
  <c r="K75" i="28"/>
  <c r="K74" i="28"/>
  <c r="K73" i="28"/>
  <c r="K72" i="28"/>
  <c r="K71" i="28"/>
  <c r="K70" i="28"/>
  <c r="K69" i="28"/>
  <c r="G33" i="28"/>
  <c r="G41" i="28"/>
  <c r="F30" i="28"/>
  <c r="F38" i="28"/>
  <c r="G35" i="28"/>
  <c r="F32" i="28"/>
  <c r="G29" i="28"/>
  <c r="F26" i="28"/>
  <c r="G32" i="28"/>
  <c r="F37" i="28"/>
  <c r="G34" i="28"/>
  <c r="G42" i="28"/>
  <c r="F31" i="28"/>
  <c r="F39" i="28"/>
  <c r="F40" i="28"/>
  <c r="F42" i="28"/>
  <c r="F28" i="28"/>
  <c r="F29" i="28"/>
  <c r="G27" i="28"/>
  <c r="G28" i="28"/>
  <c r="G36" i="28"/>
  <c r="F33" i="28"/>
  <c r="F41" i="28"/>
  <c r="G37" i="28"/>
  <c r="F34" i="28"/>
  <c r="G31" i="28"/>
  <c r="F36" i="28"/>
  <c r="G30" i="28"/>
  <c r="G38" i="28"/>
  <c r="F27" i="28"/>
  <c r="F35" i="28"/>
  <c r="G39" i="28"/>
  <c r="G40" i="28"/>
  <c r="G82" i="28"/>
  <c r="G74" i="28"/>
  <c r="F71" i="28"/>
  <c r="F79" i="28"/>
  <c r="F81" i="28"/>
  <c r="F69" i="28"/>
  <c r="G75" i="28"/>
  <c r="G81" i="28"/>
  <c r="G73" i="28"/>
  <c r="F72" i="28"/>
  <c r="F80" i="28"/>
  <c r="F73" i="28"/>
  <c r="F75" i="28"/>
  <c r="F77" i="28"/>
  <c r="F78" i="28"/>
  <c r="G80" i="28"/>
  <c r="G72" i="28"/>
  <c r="G79" i="28"/>
  <c r="G70" i="28"/>
  <c r="F74" i="28"/>
  <c r="F82" i="28"/>
  <c r="G78" i="28"/>
  <c r="G69" i="28"/>
  <c r="G76" i="28"/>
  <c r="F70" i="28"/>
  <c r="G77" i="28"/>
  <c r="G71" i="28"/>
  <c r="F76" i="28"/>
  <c r="E81" i="28"/>
  <c r="C79" i="28"/>
  <c r="E82" i="28"/>
  <c r="C80" i="28"/>
  <c r="C81" i="28"/>
  <c r="C82" i="28"/>
  <c r="C75" i="28"/>
  <c r="C76" i="28"/>
  <c r="C77" i="28"/>
  <c r="C78" i="28"/>
  <c r="C51" i="28"/>
  <c r="G44" i="28"/>
  <c r="G52" i="28"/>
  <c r="F49" i="28"/>
  <c r="F43" i="28"/>
  <c r="G45" i="28"/>
  <c r="G43" i="28"/>
  <c r="F50" i="28"/>
  <c r="F51" i="28"/>
  <c r="F45" i="28"/>
  <c r="G50" i="28"/>
  <c r="G51" i="28"/>
  <c r="G46" i="28"/>
  <c r="G47" i="28"/>
  <c r="F44" i="28"/>
  <c r="F52" i="28"/>
  <c r="G48" i="28"/>
  <c r="F48" i="28"/>
  <c r="G49" i="28"/>
  <c r="F46" i="28"/>
  <c r="F47" i="28"/>
  <c r="G62" i="28"/>
  <c r="F59" i="28"/>
  <c r="F67" i="28"/>
  <c r="F55" i="28"/>
  <c r="G68" i="28"/>
  <c r="F65" i="28"/>
  <c r="F58" i="28"/>
  <c r="G63" i="28"/>
  <c r="F60" i="28"/>
  <c r="F68" i="28"/>
  <c r="F61" i="28"/>
  <c r="G56" i="28"/>
  <c r="G64" i="28"/>
  <c r="G57" i="28"/>
  <c r="G65" i="28"/>
  <c r="F62" i="28"/>
  <c r="G58" i="28"/>
  <c r="G66" i="28"/>
  <c r="F63" i="28"/>
  <c r="F57" i="28"/>
  <c r="G59" i="28"/>
  <c r="G67" i="28"/>
  <c r="F56" i="28"/>
  <c r="F64" i="28"/>
  <c r="G60" i="28"/>
  <c r="G61" i="28"/>
  <c r="F66" i="28"/>
  <c r="C74" i="28"/>
  <c r="C34" i="28"/>
  <c r="C30" i="28"/>
  <c r="E29" i="28"/>
  <c r="E33" i="28"/>
  <c r="E37" i="28"/>
  <c r="E41" i="28"/>
  <c r="E30" i="28"/>
  <c r="E34" i="28"/>
  <c r="E38" i="28"/>
  <c r="E42" i="28"/>
  <c r="E27" i="28"/>
  <c r="E31" i="28"/>
  <c r="E35" i="28"/>
  <c r="E39" i="28"/>
  <c r="E26" i="28"/>
  <c r="E28" i="28"/>
  <c r="E32" i="28"/>
  <c r="E36" i="28"/>
  <c r="E40" i="28"/>
  <c r="E72" i="28"/>
  <c r="E76" i="28"/>
  <c r="E80" i="28"/>
  <c r="E73" i="28"/>
  <c r="E77" i="28"/>
  <c r="E69" i="28"/>
  <c r="C70" i="28"/>
  <c r="C69" i="28"/>
  <c r="C73" i="28"/>
  <c r="E70" i="28"/>
  <c r="E74" i="28"/>
  <c r="E78" i="28"/>
  <c r="C71" i="28"/>
  <c r="E71" i="28"/>
  <c r="E75" i="28"/>
  <c r="E79" i="28"/>
  <c r="C72" i="28"/>
  <c r="C41" i="28"/>
  <c r="C37" i="28"/>
  <c r="C33" i="28"/>
  <c r="C29" i="28"/>
  <c r="C50" i="28"/>
  <c r="C46" i="28"/>
  <c r="C42" i="28"/>
  <c r="C38" i="28"/>
  <c r="C43" i="28"/>
  <c r="C47" i="28"/>
  <c r="C40" i="28"/>
  <c r="C36" i="28"/>
  <c r="C32" i="28"/>
  <c r="C28" i="28"/>
  <c r="C49" i="28"/>
  <c r="C45" i="28"/>
  <c r="E44" i="28"/>
  <c r="E48" i="28"/>
  <c r="E52" i="28"/>
  <c r="E45" i="28"/>
  <c r="E49" i="28"/>
  <c r="E43" i="28"/>
  <c r="E46" i="28"/>
  <c r="E50" i="28"/>
  <c r="E47" i="28"/>
  <c r="E51" i="28"/>
  <c r="E58" i="28"/>
  <c r="E62" i="28"/>
  <c r="E66" i="28"/>
  <c r="E59" i="28"/>
  <c r="E63" i="28"/>
  <c r="E67" i="28"/>
  <c r="C59" i="28"/>
  <c r="C63" i="28"/>
  <c r="C62" i="28"/>
  <c r="E56" i="28"/>
  <c r="E60" i="28"/>
  <c r="E64" i="28"/>
  <c r="E68" i="28"/>
  <c r="C56" i="28"/>
  <c r="C60" i="28"/>
  <c r="C64" i="28"/>
  <c r="E57" i="28"/>
  <c r="E61" i="28"/>
  <c r="E65" i="28"/>
  <c r="E55" i="28"/>
  <c r="C57" i="28"/>
  <c r="C61" i="28"/>
  <c r="C65" i="28"/>
  <c r="C58" i="28"/>
  <c r="C55" i="28"/>
  <c r="C26" i="28"/>
  <c r="C39" i="28"/>
  <c r="C35" i="28"/>
  <c r="C31" i="28"/>
  <c r="C27" i="28"/>
  <c r="C48" i="28"/>
  <c r="C44" i="28"/>
  <c r="C52" i="28"/>
  <c r="C68" i="28"/>
  <c r="C67" i="28"/>
  <c r="C66" i="28"/>
  <c r="B3" i="28"/>
  <c r="B4" i="28"/>
  <c r="B5" i="28"/>
  <c r="B7" i="28"/>
  <c r="B8" i="28"/>
  <c r="B9" i="28"/>
  <c r="B10" i="28"/>
  <c r="B11" i="28"/>
  <c r="B12" i="28"/>
  <c r="B13" i="28"/>
  <c r="B14" i="28"/>
  <c r="B15" i="28"/>
  <c r="B16" i="28"/>
  <c r="B17" i="28"/>
  <c r="B18" i="28"/>
  <c r="B20" i="28"/>
  <c r="B21" i="28"/>
  <c r="B22" i="28"/>
  <c r="B23" i="28"/>
  <c r="B24" i="28"/>
  <c r="B25" i="28"/>
  <c r="B2" i="28"/>
  <c r="M48" i="28" l="1"/>
  <c r="M46" i="28"/>
  <c r="M54" i="28"/>
  <c r="M43" i="28"/>
  <c r="M51" i="28"/>
  <c r="M44" i="28"/>
  <c r="M52" i="28"/>
  <c r="M47" i="28"/>
  <c r="M61" i="28"/>
  <c r="M62" i="28"/>
  <c r="M58" i="28"/>
  <c r="M66" i="28"/>
  <c r="M65" i="28"/>
  <c r="M71" i="28"/>
  <c r="M75" i="28"/>
  <c r="M79" i="28"/>
  <c r="M72" i="28"/>
  <c r="M76" i="28"/>
  <c r="M80" i="28"/>
  <c r="M45" i="28"/>
  <c r="M50" i="28"/>
  <c r="M49" i="28"/>
  <c r="M53" i="28"/>
  <c r="M56" i="28"/>
  <c r="M60" i="28"/>
  <c r="M64" i="28"/>
  <c r="M68" i="28"/>
  <c r="M69" i="28"/>
  <c r="M73" i="28"/>
  <c r="M77" i="28"/>
  <c r="M81" i="28"/>
  <c r="M70" i="28"/>
  <c r="M74" i="28"/>
  <c r="M78" i="28"/>
  <c r="M82" i="28"/>
  <c r="M57" i="28"/>
  <c r="M55" i="28"/>
  <c r="M59" i="28"/>
  <c r="M63" i="28"/>
  <c r="M67" i="28"/>
  <c r="M26" i="28"/>
  <c r="M27" i="28"/>
  <c r="M28" i="28"/>
  <c r="M29" i="28"/>
  <c r="M30" i="28"/>
  <c r="M31" i="28"/>
  <c r="M32" i="28"/>
  <c r="M33" i="28"/>
  <c r="M34" i="28"/>
  <c r="M35" i="28"/>
  <c r="M36" i="28"/>
  <c r="M37" i="28"/>
  <c r="M38" i="28"/>
  <c r="M39" i="28"/>
  <c r="M40" i="28"/>
  <c r="M41" i="28"/>
  <c r="M42" i="28"/>
  <c r="B228" i="24"/>
  <c r="B220" i="24"/>
  <c r="B212" i="24"/>
  <c r="B204" i="24"/>
  <c r="B196" i="24"/>
  <c r="B188" i="24"/>
  <c r="B177" i="24"/>
  <c r="B161" i="24"/>
  <c r="B153" i="24"/>
  <c r="B145" i="24"/>
  <c r="B137" i="24"/>
  <c r="B129" i="24"/>
  <c r="B118" i="24"/>
  <c r="B110" i="24"/>
  <c r="B102" i="24"/>
  <c r="B91" i="24"/>
  <c r="B83" i="24"/>
  <c r="B75" i="24"/>
  <c r="B64" i="24"/>
  <c r="B48" i="24"/>
  <c r="B40" i="24"/>
  <c r="N52" i="28" l="1"/>
  <c r="N55" i="28"/>
  <c r="L19" i="28"/>
  <c r="L10" i="28"/>
  <c r="K20" i="28"/>
  <c r="F19" i="28"/>
  <c r="L13" i="28"/>
  <c r="K4" i="28"/>
  <c r="K5" i="28"/>
  <c r="L20" i="28"/>
  <c r="E19" i="28"/>
  <c r="L21" i="28"/>
  <c r="C19" i="28"/>
  <c r="K7" i="28"/>
  <c r="K15" i="28"/>
  <c r="K23" i="28"/>
  <c r="L6" i="28"/>
  <c r="L14" i="28"/>
  <c r="L22" i="28"/>
  <c r="L3" i="28"/>
  <c r="K13" i="28"/>
  <c r="L4" i="28"/>
  <c r="K6" i="28"/>
  <c r="L5" i="28"/>
  <c r="K8" i="28"/>
  <c r="K16" i="28"/>
  <c r="K24" i="28"/>
  <c r="L7" i="28"/>
  <c r="L15" i="28"/>
  <c r="L23" i="28"/>
  <c r="K11" i="28"/>
  <c r="K12" i="28"/>
  <c r="K21" i="28"/>
  <c r="K22" i="28"/>
  <c r="K9" i="28"/>
  <c r="K17" i="28"/>
  <c r="K25" i="28"/>
  <c r="L8" i="28"/>
  <c r="L16" i="28"/>
  <c r="L24" i="28"/>
  <c r="K19" i="28"/>
  <c r="G19" i="28"/>
  <c r="L11" i="28"/>
  <c r="L12" i="28"/>
  <c r="K14" i="28"/>
  <c r="K3" i="28"/>
  <c r="K10" i="28"/>
  <c r="K18" i="28"/>
  <c r="L9" i="28"/>
  <c r="L17" i="28"/>
  <c r="L25" i="28"/>
  <c r="L18" i="28"/>
  <c r="N53" i="28"/>
  <c r="N54" i="28"/>
  <c r="N49" i="28"/>
  <c r="N47" i="28"/>
  <c r="N46" i="28"/>
  <c r="N48" i="28"/>
  <c r="E6" i="28"/>
  <c r="C6" i="28"/>
  <c r="F6" i="28"/>
  <c r="G6" i="28"/>
  <c r="N44" i="28"/>
  <c r="N26" i="28"/>
  <c r="N34" i="28"/>
  <c r="N42" i="28"/>
  <c r="N27" i="28"/>
  <c r="N35" i="28"/>
  <c r="N40" i="28"/>
  <c r="N28" i="28"/>
  <c r="N36" i="28"/>
  <c r="N29" i="28"/>
  <c r="N37" i="28"/>
  <c r="N30" i="28"/>
  <c r="N38" i="28"/>
  <c r="N32" i="28"/>
  <c r="N31" i="28"/>
  <c r="N39" i="28"/>
  <c r="N33" i="28"/>
  <c r="N41" i="28"/>
  <c r="N51" i="28"/>
  <c r="N43" i="28"/>
  <c r="N50" i="28"/>
  <c r="N76" i="28"/>
  <c r="N75" i="28"/>
  <c r="N69" i="28"/>
  <c r="N77" i="28"/>
  <c r="N82" i="28"/>
  <c r="N70" i="28"/>
  <c r="N78" i="28"/>
  <c r="N71" i="28"/>
  <c r="N79" i="28"/>
  <c r="N72" i="28"/>
  <c r="N80" i="28"/>
  <c r="N74" i="28"/>
  <c r="N73" i="28"/>
  <c r="N81" i="28"/>
  <c r="N45" i="28"/>
  <c r="N60" i="28"/>
  <c r="N68" i="28"/>
  <c r="N61" i="28"/>
  <c r="N62" i="28"/>
  <c r="N63" i="28"/>
  <c r="N66" i="28"/>
  <c r="N67" i="28"/>
  <c r="N56" i="28"/>
  <c r="N64" i="28"/>
  <c r="N57" i="28"/>
  <c r="N65" i="28"/>
  <c r="N58" i="28"/>
  <c r="N59" i="28"/>
  <c r="G10" i="28"/>
  <c r="G23" i="28"/>
  <c r="F7" i="28"/>
  <c r="F20" i="28"/>
  <c r="G25" i="28"/>
  <c r="G11" i="28"/>
  <c r="G24" i="28"/>
  <c r="F8" i="28"/>
  <c r="F21" i="28"/>
  <c r="G15" i="28"/>
  <c r="F4" i="28"/>
  <c r="F15" i="28"/>
  <c r="G3" i="28"/>
  <c r="G13" i="28"/>
  <c r="F9" i="28"/>
  <c r="F22" i="28"/>
  <c r="F11" i="28"/>
  <c r="G8" i="28"/>
  <c r="G4" i="28"/>
  <c r="G14" i="28"/>
  <c r="F10" i="28"/>
  <c r="F23" i="28"/>
  <c r="F24" i="28"/>
  <c r="G9" i="28"/>
  <c r="G5" i="28"/>
  <c r="G21" i="28"/>
  <c r="G22" i="28"/>
  <c r="G7" i="28"/>
  <c r="G20" i="28"/>
  <c r="F3" i="28"/>
  <c r="F13" i="28"/>
  <c r="F25" i="28"/>
  <c r="F14" i="28"/>
  <c r="F5" i="28"/>
  <c r="F12" i="28"/>
  <c r="F17" i="28"/>
  <c r="F2" i="28"/>
  <c r="F16" i="28"/>
  <c r="F18" i="28"/>
  <c r="G18" i="28"/>
  <c r="G16" i="28"/>
  <c r="G12" i="28"/>
  <c r="G17" i="28"/>
  <c r="C21" i="28"/>
  <c r="C16" i="28"/>
  <c r="C12" i="28"/>
  <c r="C8" i="28"/>
  <c r="C3" i="28"/>
  <c r="C24" i="28"/>
  <c r="C20" i="28"/>
  <c r="C15" i="28"/>
  <c r="C11" i="28"/>
  <c r="C7" i="28"/>
  <c r="C2" i="28"/>
  <c r="C23" i="28"/>
  <c r="C18" i="28"/>
  <c r="C14" i="28"/>
  <c r="C10" i="28"/>
  <c r="C5" i="28"/>
  <c r="C25" i="28"/>
  <c r="C22" i="28"/>
  <c r="C17" i="28"/>
  <c r="C13" i="28"/>
  <c r="C9" i="28"/>
  <c r="C4" i="28"/>
  <c r="E3" i="28"/>
  <c r="E8" i="28"/>
  <c r="E12" i="28"/>
  <c r="E16" i="28"/>
  <c r="E21" i="28"/>
  <c r="E25" i="28"/>
  <c r="E4" i="28"/>
  <c r="E9" i="28"/>
  <c r="E13" i="28"/>
  <c r="E17" i="28"/>
  <c r="E22" i="28"/>
  <c r="E2" i="28"/>
  <c r="E5" i="28"/>
  <c r="E10" i="28"/>
  <c r="E14" i="28"/>
  <c r="E18" i="28"/>
  <c r="E23" i="28"/>
  <c r="E7" i="28"/>
  <c r="E11" i="28"/>
  <c r="E15" i="28"/>
  <c r="E20" i="28"/>
  <c r="E24" i="28"/>
  <c r="N19" i="19"/>
  <c r="G55" i="28" s="1"/>
  <c r="M19" i="28" l="1"/>
  <c r="M15" i="28"/>
  <c r="M22" i="28"/>
  <c r="M10" i="28"/>
  <c r="M3" i="28"/>
  <c r="M23" i="28"/>
  <c r="M20" i="28"/>
  <c r="M21" i="28"/>
  <c r="M13" i="28"/>
  <c r="M14" i="28"/>
  <c r="M6" i="28"/>
  <c r="M18" i="28"/>
  <c r="M25" i="28"/>
  <c r="M17" i="28"/>
  <c r="M9" i="28"/>
  <c r="M12" i="28"/>
  <c r="M11" i="28"/>
  <c r="M24" i="28"/>
  <c r="M16" i="28"/>
  <c r="M8" i="28"/>
  <c r="M7" i="28"/>
  <c r="M5" i="28"/>
  <c r="M4" i="28"/>
  <c r="I54" i="28"/>
  <c r="I19" i="28"/>
  <c r="I53" i="28"/>
  <c r="I6" i="28"/>
  <c r="E33" i="26"/>
  <c r="G33" i="26"/>
  <c r="O33" i="26" s="1"/>
  <c r="G29" i="26"/>
  <c r="O29" i="26" s="1"/>
  <c r="E29" i="26"/>
  <c r="G27" i="26"/>
  <c r="O27" i="26" s="1"/>
  <c r="E27" i="26"/>
  <c r="G31" i="26"/>
  <c r="O31" i="26" s="1"/>
  <c r="E31" i="26"/>
  <c r="G26" i="28"/>
  <c r="H6" i="28" s="1"/>
  <c r="N2" i="28" l="1"/>
  <c r="N19" i="28"/>
  <c r="H54" i="28"/>
  <c r="H53" i="28"/>
  <c r="H82" i="28"/>
  <c r="H19" i="28"/>
  <c r="N6" i="28"/>
  <c r="N9" i="28"/>
  <c r="N17" i="28"/>
  <c r="N25" i="28"/>
  <c r="N10" i="28"/>
  <c r="N18" i="28"/>
  <c r="N16" i="28"/>
  <c r="N11" i="28"/>
  <c r="N20" i="28"/>
  <c r="N8" i="28"/>
  <c r="N3" i="28"/>
  <c r="N12" i="28"/>
  <c r="N21" i="28"/>
  <c r="N4" i="28"/>
  <c r="N13" i="28"/>
  <c r="N22" i="28"/>
  <c r="N5" i="28"/>
  <c r="N14" i="28"/>
  <c r="N23" i="28"/>
  <c r="N7" i="28"/>
  <c r="N15" i="28"/>
  <c r="N24" i="28"/>
  <c r="H8" i="28"/>
  <c r="H80" i="28"/>
  <c r="H48" i="28"/>
  <c r="H73" i="28"/>
  <c r="H13" i="28"/>
  <c r="H52" i="28"/>
  <c r="H25" i="28"/>
  <c r="H39" i="28"/>
  <c r="H16" i="28"/>
  <c r="H3" i="28"/>
  <c r="H28" i="28"/>
  <c r="H5" i="28"/>
  <c r="H29" i="28"/>
  <c r="H30" i="28"/>
  <c r="H26" i="28"/>
  <c r="H69" i="28"/>
  <c r="H18" i="28"/>
  <c r="H9" i="28"/>
  <c r="H27" i="28"/>
  <c r="H43" i="28"/>
  <c r="H70" i="28"/>
  <c r="H22" i="28"/>
  <c r="H45" i="28"/>
  <c r="H11" i="28"/>
  <c r="H68" i="28"/>
  <c r="H44" i="28"/>
  <c r="H36" i="28"/>
  <c r="H63" i="28"/>
  <c r="H42" i="28"/>
  <c r="H2" i="28"/>
  <c r="H31" i="28"/>
  <c r="H20" i="28"/>
  <c r="H37" i="28"/>
  <c r="H72" i="28"/>
  <c r="H67" i="28"/>
  <c r="H61" i="28"/>
  <c r="H78" i="28"/>
  <c r="H51" i="28"/>
  <c r="H46" i="28"/>
  <c r="H41" i="28"/>
  <c r="H74" i="28"/>
  <c r="H7" i="28"/>
  <c r="H17" i="28"/>
  <c r="H76" i="28"/>
  <c r="H21" i="28"/>
  <c r="H57" i="28"/>
  <c r="H24" i="28"/>
  <c r="H40" i="28"/>
  <c r="H34" i="28"/>
  <c r="H14" i="28"/>
  <c r="H4" i="28"/>
  <c r="H62" i="28"/>
  <c r="H47" i="28"/>
  <c r="H55" i="28"/>
  <c r="H65" i="28"/>
  <c r="H60" i="28"/>
  <c r="H32" i="28"/>
  <c r="H50" i="28"/>
  <c r="H56" i="28"/>
  <c r="H23" i="28"/>
  <c r="H77" i="28"/>
  <c r="H79" i="28"/>
  <c r="H66" i="28"/>
  <c r="H59" i="28"/>
  <c r="H49" i="28"/>
  <c r="H35" i="28"/>
  <c r="H12" i="28"/>
  <c r="H38" i="28"/>
  <c r="H64" i="28"/>
  <c r="H81" i="28"/>
  <c r="H15" i="28"/>
  <c r="H71" i="28"/>
  <c r="H75" i="28"/>
  <c r="H10" i="28"/>
  <c r="H33" i="28"/>
  <c r="H58" i="28"/>
  <c r="I81" i="28"/>
  <c r="I82" i="28"/>
  <c r="I80" i="28"/>
  <c r="I56" i="28"/>
  <c r="I30" i="28"/>
  <c r="I2" i="28"/>
  <c r="I70" i="28"/>
  <c r="I28" i="28"/>
  <c r="I77" i="28"/>
  <c r="I69" i="28"/>
  <c r="I61" i="28"/>
  <c r="I51" i="28"/>
  <c r="I43" i="28"/>
  <c r="I76" i="28"/>
  <c r="I68" i="28"/>
  <c r="I60" i="28"/>
  <c r="I50" i="28"/>
  <c r="I42" i="28"/>
  <c r="I34" i="28"/>
  <c r="I26" i="28"/>
  <c r="I52" i="28"/>
  <c r="I35" i="28"/>
  <c r="I75" i="28"/>
  <c r="I67" i="28"/>
  <c r="I59" i="28"/>
  <c r="I49" i="28"/>
  <c r="I41" i="28"/>
  <c r="I33" i="28"/>
  <c r="I73" i="28"/>
  <c r="I39" i="28"/>
  <c r="I72" i="28"/>
  <c r="I46" i="28"/>
  <c r="I79" i="28"/>
  <c r="I63" i="28"/>
  <c r="I45" i="28"/>
  <c r="I29" i="28"/>
  <c r="I78" i="28"/>
  <c r="I44" i="28"/>
  <c r="I27" i="28"/>
  <c r="I74" i="28"/>
  <c r="I66" i="28"/>
  <c r="I58" i="28"/>
  <c r="I48" i="28"/>
  <c r="I40" i="28"/>
  <c r="I32" i="28"/>
  <c r="I65" i="28"/>
  <c r="I57" i="28"/>
  <c r="I47" i="28"/>
  <c r="I31" i="28"/>
  <c r="I64" i="28"/>
  <c r="I38" i="28"/>
  <c r="I71" i="28"/>
  <c r="I55" i="28"/>
  <c r="I37" i="28"/>
  <c r="I62" i="28"/>
  <c r="I36" i="28"/>
  <c r="I4" i="28"/>
  <c r="I11" i="28"/>
  <c r="I24" i="28"/>
  <c r="I14" i="28"/>
  <c r="I25" i="28"/>
  <c r="I15" i="28"/>
  <c r="I21" i="28"/>
  <c r="I10" i="28"/>
  <c r="I7" i="28"/>
  <c r="I22" i="28"/>
  <c r="I16" i="28"/>
  <c r="I8" i="28"/>
  <c r="I12" i="28"/>
  <c r="I18" i="28"/>
  <c r="I20" i="28"/>
  <c r="I3" i="28"/>
  <c r="I17" i="28"/>
  <c r="I23" i="28"/>
  <c r="I9" i="28"/>
  <c r="I5" i="28"/>
  <c r="I13" i="28"/>
  <c r="E25" i="26" l="1"/>
  <c r="G25" i="26"/>
  <c r="O25" i="26" s="1"/>
  <c r="C163" i="29"/>
  <c r="C155" i="29"/>
  <c r="C147" i="29"/>
  <c r="C139" i="29"/>
  <c r="C131" i="29"/>
  <c r="C123" i="29"/>
  <c r="C115" i="29"/>
  <c r="C107" i="29"/>
  <c r="C99" i="29"/>
  <c r="C91" i="29"/>
  <c r="C83" i="29"/>
  <c r="K83" i="29" s="1"/>
  <c r="C75" i="29"/>
  <c r="K75" i="29" s="1"/>
  <c r="C67" i="29"/>
  <c r="K67" i="29" s="1"/>
  <c r="C59" i="29"/>
  <c r="K59" i="29" s="1"/>
  <c r="C51" i="29"/>
  <c r="K51" i="29" s="1"/>
  <c r="C43" i="29"/>
  <c r="K43" i="29" s="1"/>
  <c r="C35" i="29"/>
  <c r="K35" i="29" s="1"/>
  <c r="C27" i="29"/>
  <c r="K27" i="29" s="1"/>
  <c r="C19" i="29"/>
  <c r="K19" i="29" s="1"/>
  <c r="C89" i="29"/>
  <c r="K89" i="29" s="1"/>
  <c r="C162" i="29"/>
  <c r="C154" i="29"/>
  <c r="C146" i="29"/>
  <c r="C138" i="29"/>
  <c r="C130" i="29"/>
  <c r="C122" i="29"/>
  <c r="C114" i="29"/>
  <c r="C106" i="29"/>
  <c r="C98" i="29"/>
  <c r="C90" i="29"/>
  <c r="C82" i="29"/>
  <c r="K82" i="29" s="1"/>
  <c r="C74" i="29"/>
  <c r="K74" i="29" s="1"/>
  <c r="C66" i="29"/>
  <c r="K66" i="29" s="1"/>
  <c r="C58" i="29"/>
  <c r="K58" i="29" s="1"/>
  <c r="C50" i="29"/>
  <c r="K50" i="29" s="1"/>
  <c r="C42" i="29"/>
  <c r="K42" i="29" s="1"/>
  <c r="C34" i="29"/>
  <c r="K34" i="29" s="1"/>
  <c r="C26" i="29"/>
  <c r="K26" i="29" s="1"/>
  <c r="C18" i="29"/>
  <c r="K18" i="29" s="1"/>
  <c r="C137" i="29"/>
  <c r="C105" i="29"/>
  <c r="C65" i="29"/>
  <c r="K65" i="29" s="1"/>
  <c r="C25" i="29"/>
  <c r="K25" i="29" s="1"/>
  <c r="C161" i="29"/>
  <c r="C153" i="29"/>
  <c r="C145" i="29"/>
  <c r="C129" i="29"/>
  <c r="C97" i="29"/>
  <c r="C57" i="29"/>
  <c r="K57" i="29" s="1"/>
  <c r="C17" i="29"/>
  <c r="K17" i="29" s="1"/>
  <c r="C159" i="29"/>
  <c r="C151" i="29"/>
  <c r="C143" i="29"/>
  <c r="C135" i="29"/>
  <c r="C127" i="29"/>
  <c r="C119" i="29"/>
  <c r="C111" i="29"/>
  <c r="C103" i="29"/>
  <c r="C95" i="29"/>
  <c r="K95" i="29" s="1"/>
  <c r="C87" i="29"/>
  <c r="K87" i="29" s="1"/>
  <c r="C79" i="29"/>
  <c r="K79" i="29" s="1"/>
  <c r="C71" i="29"/>
  <c r="K71" i="29" s="1"/>
  <c r="C63" i="29"/>
  <c r="K63" i="29" s="1"/>
  <c r="C55" i="29"/>
  <c r="K55" i="29" s="1"/>
  <c r="C47" i="29"/>
  <c r="K47" i="29" s="1"/>
  <c r="C39" i="29"/>
  <c r="K39" i="29" s="1"/>
  <c r="C31" i="29"/>
  <c r="K31" i="29" s="1"/>
  <c r="C23" i="29"/>
  <c r="K23" i="29" s="1"/>
  <c r="C15" i="29"/>
  <c r="K15" i="29" s="1"/>
  <c r="C158" i="29"/>
  <c r="C150" i="29"/>
  <c r="C142" i="29"/>
  <c r="C134" i="29"/>
  <c r="C126" i="29"/>
  <c r="C118" i="29"/>
  <c r="C110" i="29"/>
  <c r="C102" i="29"/>
  <c r="C94" i="29"/>
  <c r="K94" i="29" s="1"/>
  <c r="C86" i="29"/>
  <c r="K86" i="29" s="1"/>
  <c r="C78" i="29"/>
  <c r="K78" i="29" s="1"/>
  <c r="C70" i="29"/>
  <c r="K70" i="29" s="1"/>
  <c r="C62" i="29"/>
  <c r="K62" i="29" s="1"/>
  <c r="C54" i="29"/>
  <c r="K54" i="29" s="1"/>
  <c r="C46" i="29"/>
  <c r="K46" i="29" s="1"/>
  <c r="C38" i="29"/>
  <c r="K38" i="29" s="1"/>
  <c r="C30" i="29"/>
  <c r="K30" i="29" s="1"/>
  <c r="C22" i="29"/>
  <c r="K22" i="29" s="1"/>
  <c r="C81" i="29"/>
  <c r="K81" i="29" s="1"/>
  <c r="C33" i="29"/>
  <c r="K33" i="29" s="1"/>
  <c r="C157" i="29"/>
  <c r="C149" i="29"/>
  <c r="C141" i="29"/>
  <c r="C133" i="29"/>
  <c r="C125" i="29"/>
  <c r="C117" i="29"/>
  <c r="C109" i="29"/>
  <c r="C101" i="29"/>
  <c r="C93" i="29"/>
  <c r="K93" i="29" s="1"/>
  <c r="C85" i="29"/>
  <c r="K85" i="29" s="1"/>
  <c r="C77" i="29"/>
  <c r="K77" i="29" s="1"/>
  <c r="C69" i="29"/>
  <c r="K69" i="29" s="1"/>
  <c r="C61" i="29"/>
  <c r="C53" i="29"/>
  <c r="K53" i="29" s="1"/>
  <c r="C45" i="29"/>
  <c r="K45" i="29" s="1"/>
  <c r="C37" i="29"/>
  <c r="K37" i="29" s="1"/>
  <c r="C29" i="29"/>
  <c r="K29" i="29" s="1"/>
  <c r="C21" i="29"/>
  <c r="K21" i="29" s="1"/>
  <c r="C121" i="29"/>
  <c r="C73" i="29"/>
  <c r="K73" i="29" s="1"/>
  <c r="C49" i="29"/>
  <c r="K49" i="29" s="1"/>
  <c r="C164" i="29"/>
  <c r="C156" i="29"/>
  <c r="C148" i="29"/>
  <c r="C140" i="29"/>
  <c r="C132" i="29"/>
  <c r="C124" i="29"/>
  <c r="C116" i="29"/>
  <c r="C108" i="29"/>
  <c r="C100" i="29"/>
  <c r="C92" i="29"/>
  <c r="K92" i="29" s="1"/>
  <c r="C84" i="29"/>
  <c r="K84" i="29" s="1"/>
  <c r="C76" i="29"/>
  <c r="K76" i="29" s="1"/>
  <c r="C68" i="29"/>
  <c r="K68" i="29" s="1"/>
  <c r="C60" i="29"/>
  <c r="K60" i="29" s="1"/>
  <c r="C52" i="29"/>
  <c r="K52" i="29" s="1"/>
  <c r="C44" i="29"/>
  <c r="C36" i="29"/>
  <c r="K36" i="29" s="1"/>
  <c r="C28" i="29"/>
  <c r="K28" i="29" s="1"/>
  <c r="C20" i="29"/>
  <c r="K20" i="29" s="1"/>
  <c r="C113" i="29"/>
  <c r="C41" i="29"/>
  <c r="K41" i="29" s="1"/>
  <c r="C104" i="29"/>
  <c r="C40" i="29"/>
  <c r="K40" i="29" s="1"/>
  <c r="C160" i="29"/>
  <c r="C96" i="29"/>
  <c r="C32" i="29"/>
  <c r="K32" i="29" s="1"/>
  <c r="C144" i="29"/>
  <c r="C80" i="29"/>
  <c r="K80" i="29" s="1"/>
  <c r="C16" i="29"/>
  <c r="K16" i="29" s="1"/>
  <c r="C56" i="29"/>
  <c r="K56" i="29" s="1"/>
  <c r="C88" i="29"/>
  <c r="K88" i="29" s="1"/>
  <c r="C136" i="29"/>
  <c r="C72" i="29"/>
  <c r="K72" i="29" s="1"/>
  <c r="C64" i="29"/>
  <c r="K64" i="29" s="1"/>
  <c r="C120" i="29"/>
  <c r="C48" i="29"/>
  <c r="K48" i="29" s="1"/>
  <c r="C24" i="29"/>
  <c r="K24" i="29" s="1"/>
  <c r="C128" i="29"/>
  <c r="C112" i="29"/>
  <c r="C152" i="29"/>
  <c r="L68" i="29" l="1"/>
  <c r="L15" i="29"/>
  <c r="M7" i="26"/>
  <c r="F64" i="29"/>
  <c r="E64" i="29"/>
  <c r="D64" i="29"/>
  <c r="B64" i="29" s="1"/>
  <c r="F32" i="29"/>
  <c r="E32" i="29"/>
  <c r="D32" i="29"/>
  <c r="B32" i="29" s="1"/>
  <c r="F28" i="29"/>
  <c r="E28" i="29"/>
  <c r="D28" i="29"/>
  <c r="B28" i="29" s="1"/>
  <c r="F92" i="29"/>
  <c r="E92" i="29"/>
  <c r="D92" i="29"/>
  <c r="B92" i="29" s="1"/>
  <c r="F156" i="29"/>
  <c r="E156" i="29"/>
  <c r="D156" i="29"/>
  <c r="B156" i="29" s="1"/>
  <c r="F45" i="29"/>
  <c r="D45" i="29"/>
  <c r="B45" i="29" s="1"/>
  <c r="E45" i="29"/>
  <c r="F109" i="29"/>
  <c r="E109" i="29"/>
  <c r="D109" i="29"/>
  <c r="B109" i="29" s="1"/>
  <c r="D81" i="29"/>
  <c r="B81" i="29" s="1"/>
  <c r="F81" i="29"/>
  <c r="E81" i="29"/>
  <c r="E78" i="29"/>
  <c r="D78" i="29"/>
  <c r="B78" i="29" s="1"/>
  <c r="F78" i="29"/>
  <c r="E142" i="29"/>
  <c r="D142" i="29"/>
  <c r="B142" i="29" s="1"/>
  <c r="F142" i="29"/>
  <c r="F55" i="29"/>
  <c r="E55" i="29"/>
  <c r="D55" i="29"/>
  <c r="B55" i="29" s="1"/>
  <c r="F119" i="29"/>
  <c r="E119" i="29"/>
  <c r="D119" i="29"/>
  <c r="B119" i="29" s="1"/>
  <c r="D97" i="29"/>
  <c r="B97" i="29" s="1"/>
  <c r="F97" i="29"/>
  <c r="E97" i="29"/>
  <c r="D137" i="29"/>
  <c r="B137" i="29" s="1"/>
  <c r="F137" i="29"/>
  <c r="E137" i="29"/>
  <c r="E74" i="29"/>
  <c r="D74" i="29"/>
  <c r="B74" i="29" s="1"/>
  <c r="F74" i="29"/>
  <c r="E138" i="29"/>
  <c r="D138" i="29"/>
  <c r="B138" i="29" s="1"/>
  <c r="F138" i="29"/>
  <c r="F43" i="29"/>
  <c r="E43" i="29"/>
  <c r="D43" i="29"/>
  <c r="B43" i="29" s="1"/>
  <c r="F107" i="29"/>
  <c r="E107" i="29"/>
  <c r="D107" i="29"/>
  <c r="B107" i="29" s="1"/>
  <c r="F72" i="29"/>
  <c r="E72" i="29"/>
  <c r="D72" i="29"/>
  <c r="B72" i="29" s="1"/>
  <c r="F96" i="29"/>
  <c r="D96" i="29"/>
  <c r="B96" i="29" s="1"/>
  <c r="E96" i="29"/>
  <c r="F36" i="29"/>
  <c r="E36" i="29"/>
  <c r="D36" i="29"/>
  <c r="B36" i="29" s="1"/>
  <c r="F100" i="29"/>
  <c r="E100" i="29"/>
  <c r="D100" i="29"/>
  <c r="B100" i="29" s="1"/>
  <c r="F164" i="29"/>
  <c r="E164" i="29"/>
  <c r="D164" i="29"/>
  <c r="B164" i="29" s="1"/>
  <c r="F53" i="29"/>
  <c r="D53" i="29"/>
  <c r="B53" i="29" s="1"/>
  <c r="E53" i="29"/>
  <c r="F117" i="29"/>
  <c r="D117" i="29"/>
  <c r="B117" i="29" s="1"/>
  <c r="E117" i="29"/>
  <c r="E22" i="29"/>
  <c r="D22" i="29"/>
  <c r="B22" i="29" s="1"/>
  <c r="F22" i="29"/>
  <c r="E86" i="29"/>
  <c r="D86" i="29"/>
  <c r="B86" i="29" s="1"/>
  <c r="F86" i="29"/>
  <c r="E150" i="29"/>
  <c r="D150" i="29"/>
  <c r="B150" i="29" s="1"/>
  <c r="F150" i="29"/>
  <c r="F63" i="29"/>
  <c r="E63" i="29"/>
  <c r="D63" i="29"/>
  <c r="B63" i="29" s="1"/>
  <c r="F127" i="29"/>
  <c r="E127" i="29"/>
  <c r="D127" i="29"/>
  <c r="B127" i="29" s="1"/>
  <c r="D129" i="29"/>
  <c r="B129" i="29" s="1"/>
  <c r="F129" i="29"/>
  <c r="E129" i="29"/>
  <c r="E18" i="29"/>
  <c r="D18" i="29"/>
  <c r="B18" i="29" s="1"/>
  <c r="F18" i="29"/>
  <c r="F82" i="29"/>
  <c r="E82" i="29"/>
  <c r="D82" i="29"/>
  <c r="B82" i="29" s="1"/>
  <c r="E146" i="29"/>
  <c r="F146" i="29"/>
  <c r="D146" i="29"/>
  <c r="B146" i="29" s="1"/>
  <c r="F51" i="29"/>
  <c r="E51" i="29"/>
  <c r="D51" i="29"/>
  <c r="B51" i="29" s="1"/>
  <c r="F115" i="29"/>
  <c r="E115" i="29"/>
  <c r="D115" i="29"/>
  <c r="B115" i="29" s="1"/>
  <c r="F152" i="29"/>
  <c r="E152" i="29"/>
  <c r="D152" i="29"/>
  <c r="B152" i="29" s="1"/>
  <c r="F136" i="29"/>
  <c r="D136" i="29"/>
  <c r="B136" i="29" s="1"/>
  <c r="E136" i="29"/>
  <c r="F160" i="29"/>
  <c r="E160" i="29"/>
  <c r="D160" i="29"/>
  <c r="B160" i="29" s="1"/>
  <c r="F44" i="29"/>
  <c r="E44" i="29"/>
  <c r="D44" i="29"/>
  <c r="B44" i="29" s="1"/>
  <c r="F108" i="29"/>
  <c r="E108" i="29"/>
  <c r="D108" i="29"/>
  <c r="B108" i="29" s="1"/>
  <c r="D49" i="29"/>
  <c r="B49" i="29" s="1"/>
  <c r="F49" i="29"/>
  <c r="E49" i="29"/>
  <c r="F61" i="29"/>
  <c r="D61" i="29"/>
  <c r="B61" i="29" s="1"/>
  <c r="E61" i="29"/>
  <c r="E125" i="29"/>
  <c r="F125" i="29"/>
  <c r="D125" i="29"/>
  <c r="B125" i="29" s="1"/>
  <c r="E30" i="29"/>
  <c r="D30" i="29"/>
  <c r="B30" i="29" s="1"/>
  <c r="F30" i="29"/>
  <c r="E94" i="29"/>
  <c r="D94" i="29"/>
  <c r="B94" i="29" s="1"/>
  <c r="F94" i="29"/>
  <c r="E158" i="29"/>
  <c r="D158" i="29"/>
  <c r="B158" i="29" s="1"/>
  <c r="F158" i="29"/>
  <c r="F71" i="29"/>
  <c r="E71" i="29"/>
  <c r="D71" i="29"/>
  <c r="B71" i="29" s="1"/>
  <c r="F135" i="29"/>
  <c r="E135" i="29"/>
  <c r="D135" i="29"/>
  <c r="B135" i="29" s="1"/>
  <c r="D145" i="29"/>
  <c r="B145" i="29" s="1"/>
  <c r="F145" i="29"/>
  <c r="E145" i="29"/>
  <c r="E26" i="29"/>
  <c r="D26" i="29"/>
  <c r="B26" i="29" s="1"/>
  <c r="F26" i="29"/>
  <c r="K90" i="29"/>
  <c r="E90" i="29"/>
  <c r="D90" i="29"/>
  <c r="B90" i="29" s="1"/>
  <c r="F90" i="29"/>
  <c r="E154" i="29"/>
  <c r="F154" i="29"/>
  <c r="D154" i="29"/>
  <c r="B154" i="29" s="1"/>
  <c r="F59" i="29"/>
  <c r="E59" i="29"/>
  <c r="D59" i="29"/>
  <c r="B59" i="29" s="1"/>
  <c r="F123" i="29"/>
  <c r="E123" i="29"/>
  <c r="D123" i="29"/>
  <c r="B123" i="29" s="1"/>
  <c r="K61" i="29"/>
  <c r="L56" i="29" s="1"/>
  <c r="F112" i="29"/>
  <c r="D112" i="29"/>
  <c r="B112" i="29" s="1"/>
  <c r="E112" i="29"/>
  <c r="F88" i="29"/>
  <c r="E88" i="29"/>
  <c r="D88" i="29"/>
  <c r="B88" i="29" s="1"/>
  <c r="F40" i="29"/>
  <c r="E40" i="29"/>
  <c r="D40" i="29"/>
  <c r="B40" i="29" s="1"/>
  <c r="F52" i="29"/>
  <c r="E52" i="29"/>
  <c r="D52" i="29"/>
  <c r="B52" i="29" s="1"/>
  <c r="F116" i="29"/>
  <c r="E116" i="29"/>
  <c r="D116" i="29"/>
  <c r="B116" i="29" s="1"/>
  <c r="D73" i="29"/>
  <c r="B73" i="29" s="1"/>
  <c r="F73" i="29"/>
  <c r="E73" i="29"/>
  <c r="F69" i="29"/>
  <c r="D69" i="29"/>
  <c r="B69" i="29" s="1"/>
  <c r="E69" i="29"/>
  <c r="F133" i="29"/>
  <c r="D133" i="29"/>
  <c r="B133" i="29" s="1"/>
  <c r="E133" i="29"/>
  <c r="E38" i="29"/>
  <c r="D38" i="29"/>
  <c r="B38" i="29" s="1"/>
  <c r="F38" i="29"/>
  <c r="E102" i="29"/>
  <c r="D102" i="29"/>
  <c r="B102" i="29" s="1"/>
  <c r="F102" i="29"/>
  <c r="F15" i="29"/>
  <c r="E15" i="29"/>
  <c r="D15" i="29"/>
  <c r="B15" i="29" s="1"/>
  <c r="F79" i="29"/>
  <c r="E79" i="29"/>
  <c r="D79" i="29"/>
  <c r="B79" i="29" s="1"/>
  <c r="F143" i="29"/>
  <c r="E143" i="29"/>
  <c r="D143" i="29"/>
  <c r="B143" i="29" s="1"/>
  <c r="D153" i="29"/>
  <c r="B153" i="29" s="1"/>
  <c r="F153" i="29"/>
  <c r="E153" i="29"/>
  <c r="E34" i="29"/>
  <c r="D34" i="29"/>
  <c r="B34" i="29" s="1"/>
  <c r="F34" i="29"/>
  <c r="E98" i="29"/>
  <c r="F98" i="29"/>
  <c r="D98" i="29"/>
  <c r="B98" i="29" s="1"/>
  <c r="F162" i="29"/>
  <c r="E162" i="29"/>
  <c r="D162" i="29"/>
  <c r="B162" i="29" s="1"/>
  <c r="F67" i="29"/>
  <c r="E67" i="29"/>
  <c r="D67" i="29"/>
  <c r="B67" i="29" s="1"/>
  <c r="F131" i="29"/>
  <c r="E131" i="29"/>
  <c r="D131" i="29"/>
  <c r="B131" i="29" s="1"/>
  <c r="F128" i="29"/>
  <c r="E128" i="29"/>
  <c r="D128" i="29"/>
  <c r="B128" i="29" s="1"/>
  <c r="F56" i="29"/>
  <c r="E56" i="29"/>
  <c r="D56" i="29"/>
  <c r="B56" i="29" s="1"/>
  <c r="D104" i="29"/>
  <c r="B104" i="29" s="1"/>
  <c r="F104" i="29"/>
  <c r="E104" i="29"/>
  <c r="F60" i="29"/>
  <c r="E60" i="29"/>
  <c r="D60" i="29"/>
  <c r="B60" i="29" s="1"/>
  <c r="F124" i="29"/>
  <c r="E124" i="29"/>
  <c r="D124" i="29"/>
  <c r="B124" i="29" s="1"/>
  <c r="D121" i="29"/>
  <c r="B121" i="29" s="1"/>
  <c r="F121" i="29"/>
  <c r="E121" i="29"/>
  <c r="F77" i="29"/>
  <c r="D77" i="29"/>
  <c r="B77" i="29" s="1"/>
  <c r="E77" i="29"/>
  <c r="F141" i="29"/>
  <c r="D141" i="29"/>
  <c r="B141" i="29" s="1"/>
  <c r="E141" i="29"/>
  <c r="E46" i="29"/>
  <c r="D46" i="29"/>
  <c r="B46" i="29" s="1"/>
  <c r="F46" i="29"/>
  <c r="E110" i="29"/>
  <c r="D110" i="29"/>
  <c r="B110" i="29" s="1"/>
  <c r="F110" i="29"/>
  <c r="F23" i="29"/>
  <c r="E23" i="29"/>
  <c r="D23" i="29"/>
  <c r="B23" i="29" s="1"/>
  <c r="F87" i="29"/>
  <c r="E87" i="29"/>
  <c r="D87" i="29"/>
  <c r="B87" i="29" s="1"/>
  <c r="F151" i="29"/>
  <c r="E151" i="29"/>
  <c r="D151" i="29"/>
  <c r="B151" i="29" s="1"/>
  <c r="D161" i="29"/>
  <c r="B161" i="29" s="1"/>
  <c r="F161" i="29"/>
  <c r="E161" i="29"/>
  <c r="E42" i="29"/>
  <c r="D42" i="29"/>
  <c r="B42" i="29" s="1"/>
  <c r="F42" i="29"/>
  <c r="E106" i="29"/>
  <c r="D106" i="29"/>
  <c r="B106" i="29" s="1"/>
  <c r="F106" i="29"/>
  <c r="D89" i="29"/>
  <c r="B89" i="29" s="1"/>
  <c r="F89" i="29"/>
  <c r="E89" i="29"/>
  <c r="F75" i="29"/>
  <c r="E75" i="29"/>
  <c r="D75" i="29"/>
  <c r="B75" i="29" s="1"/>
  <c r="F139" i="29"/>
  <c r="E139" i="29"/>
  <c r="D139" i="29"/>
  <c r="B139" i="29" s="1"/>
  <c r="F24" i="29"/>
  <c r="E24" i="29"/>
  <c r="D24" i="29"/>
  <c r="B24" i="29" s="1"/>
  <c r="F16" i="29"/>
  <c r="E16" i="29"/>
  <c r="D16" i="29"/>
  <c r="B16" i="29" s="1"/>
  <c r="D41" i="29"/>
  <c r="B41" i="29" s="1"/>
  <c r="F41" i="29"/>
  <c r="E41" i="29"/>
  <c r="F68" i="29"/>
  <c r="E68" i="29"/>
  <c r="D68" i="29"/>
  <c r="B68" i="29" s="1"/>
  <c r="F132" i="29"/>
  <c r="E132" i="29"/>
  <c r="D132" i="29"/>
  <c r="B132" i="29" s="1"/>
  <c r="F21" i="29"/>
  <c r="D21" i="29"/>
  <c r="B21" i="29" s="1"/>
  <c r="E21" i="29"/>
  <c r="F85" i="29"/>
  <c r="D85" i="29"/>
  <c r="B85" i="29" s="1"/>
  <c r="E85" i="29"/>
  <c r="F149" i="29"/>
  <c r="E149" i="29"/>
  <c r="D149" i="29"/>
  <c r="B149" i="29" s="1"/>
  <c r="E54" i="29"/>
  <c r="D54" i="29"/>
  <c r="B54" i="29" s="1"/>
  <c r="F54" i="29"/>
  <c r="E118" i="29"/>
  <c r="D118" i="29"/>
  <c r="B118" i="29" s="1"/>
  <c r="F118" i="29"/>
  <c r="F31" i="29"/>
  <c r="E31" i="29"/>
  <c r="D31" i="29"/>
  <c r="B31" i="29" s="1"/>
  <c r="F95" i="29"/>
  <c r="E95" i="29"/>
  <c r="D95" i="29"/>
  <c r="B95" i="29" s="1"/>
  <c r="F159" i="29"/>
  <c r="E159" i="29"/>
  <c r="D159" i="29"/>
  <c r="B159" i="29" s="1"/>
  <c r="D25" i="29"/>
  <c r="B25" i="29" s="1"/>
  <c r="F25" i="29"/>
  <c r="E25" i="29"/>
  <c r="E50" i="29"/>
  <c r="D50" i="29"/>
  <c r="B50" i="29" s="1"/>
  <c r="F50" i="29"/>
  <c r="E114" i="29"/>
  <c r="D114" i="29"/>
  <c r="B114" i="29" s="1"/>
  <c r="F114" i="29"/>
  <c r="F19" i="29"/>
  <c r="E19" i="29"/>
  <c r="D19" i="29"/>
  <c r="B19" i="29" s="1"/>
  <c r="F83" i="29"/>
  <c r="E83" i="29"/>
  <c r="D83" i="29"/>
  <c r="B83" i="29" s="1"/>
  <c r="F147" i="29"/>
  <c r="E147" i="29"/>
  <c r="D147" i="29"/>
  <c r="B147" i="29" s="1"/>
  <c r="K44" i="29"/>
  <c r="L39" i="29" s="1"/>
  <c r="F48" i="29"/>
  <c r="E48" i="29"/>
  <c r="D48" i="29"/>
  <c r="B48" i="29" s="1"/>
  <c r="F80" i="29"/>
  <c r="E80" i="29"/>
  <c r="D80" i="29"/>
  <c r="B80" i="29" s="1"/>
  <c r="D113" i="29"/>
  <c r="B113" i="29" s="1"/>
  <c r="F113" i="29"/>
  <c r="E113" i="29"/>
  <c r="F76" i="29"/>
  <c r="E76" i="29"/>
  <c r="D76" i="29"/>
  <c r="B76" i="29" s="1"/>
  <c r="F140" i="29"/>
  <c r="E140" i="29"/>
  <c r="D140" i="29"/>
  <c r="B140" i="29" s="1"/>
  <c r="F29" i="29"/>
  <c r="D29" i="29"/>
  <c r="B29" i="29" s="1"/>
  <c r="E29" i="29"/>
  <c r="F93" i="29"/>
  <c r="D93" i="29"/>
  <c r="B93" i="29" s="1"/>
  <c r="E93" i="29"/>
  <c r="F157" i="29"/>
  <c r="D157" i="29"/>
  <c r="B157" i="29" s="1"/>
  <c r="E157" i="29"/>
  <c r="E62" i="29"/>
  <c r="D62" i="29"/>
  <c r="B62" i="29" s="1"/>
  <c r="F62" i="29"/>
  <c r="E126" i="29"/>
  <c r="D126" i="29"/>
  <c r="B126" i="29" s="1"/>
  <c r="F126" i="29"/>
  <c r="F39" i="29"/>
  <c r="E39" i="29"/>
  <c r="D39" i="29"/>
  <c r="B39" i="29" s="1"/>
  <c r="F103" i="29"/>
  <c r="E103" i="29"/>
  <c r="D103" i="29"/>
  <c r="B103" i="29" s="1"/>
  <c r="D17" i="29"/>
  <c r="B17" i="29" s="1"/>
  <c r="F17" i="29"/>
  <c r="E17" i="29"/>
  <c r="D65" i="29"/>
  <c r="B65" i="29" s="1"/>
  <c r="F65" i="29"/>
  <c r="E65" i="29"/>
  <c r="E58" i="29"/>
  <c r="D58" i="29"/>
  <c r="B58" i="29" s="1"/>
  <c r="F58" i="29"/>
  <c r="F122" i="29"/>
  <c r="E122" i="29"/>
  <c r="D122" i="29"/>
  <c r="B122" i="29" s="1"/>
  <c r="F27" i="29"/>
  <c r="E27" i="29"/>
  <c r="D27" i="29"/>
  <c r="B27" i="29" s="1"/>
  <c r="F91" i="29"/>
  <c r="K91" i="29"/>
  <c r="E91" i="29"/>
  <c r="D91" i="29"/>
  <c r="B91" i="29" s="1"/>
  <c r="F155" i="29"/>
  <c r="E155" i="29"/>
  <c r="D155" i="29"/>
  <c r="B155" i="29" s="1"/>
  <c r="F120" i="29"/>
  <c r="E120" i="29"/>
  <c r="D120" i="29"/>
  <c r="B120" i="29" s="1"/>
  <c r="D144" i="29"/>
  <c r="B144" i="29" s="1"/>
  <c r="F144" i="29"/>
  <c r="E144" i="29"/>
  <c r="F20" i="29"/>
  <c r="E20" i="29"/>
  <c r="D20" i="29"/>
  <c r="B20" i="29" s="1"/>
  <c r="F84" i="29"/>
  <c r="E84" i="29"/>
  <c r="D84" i="29"/>
  <c r="B84" i="29" s="1"/>
  <c r="F148" i="29"/>
  <c r="E148" i="29"/>
  <c r="D148" i="29"/>
  <c r="B148" i="29" s="1"/>
  <c r="F37" i="29"/>
  <c r="D37" i="29"/>
  <c r="B37" i="29" s="1"/>
  <c r="E37" i="29"/>
  <c r="F101" i="29"/>
  <c r="D101" i="29"/>
  <c r="B101" i="29" s="1"/>
  <c r="E101" i="29"/>
  <c r="D33" i="29"/>
  <c r="B33" i="29" s="1"/>
  <c r="F33" i="29"/>
  <c r="E33" i="29"/>
  <c r="E70" i="29"/>
  <c r="D70" i="29"/>
  <c r="B70" i="29" s="1"/>
  <c r="F70" i="29"/>
  <c r="E134" i="29"/>
  <c r="D134" i="29"/>
  <c r="B134" i="29" s="1"/>
  <c r="F134" i="29"/>
  <c r="F47" i="29"/>
  <c r="E47" i="29"/>
  <c r="D47" i="29"/>
  <c r="B47" i="29" s="1"/>
  <c r="F111" i="29"/>
  <c r="E111" i="29"/>
  <c r="D111" i="29"/>
  <c r="B111" i="29" s="1"/>
  <c r="D57" i="29"/>
  <c r="B57" i="29" s="1"/>
  <c r="F57" i="29"/>
  <c r="E57" i="29"/>
  <c r="D105" i="29"/>
  <c r="B105" i="29" s="1"/>
  <c r="F105" i="29"/>
  <c r="E105" i="29"/>
  <c r="E66" i="29"/>
  <c r="D66" i="29"/>
  <c r="B66" i="29" s="1"/>
  <c r="F66" i="29"/>
  <c r="E130" i="29"/>
  <c r="D130" i="29"/>
  <c r="B130" i="29" s="1"/>
  <c r="F130" i="29"/>
  <c r="F35" i="29"/>
  <c r="E35" i="29"/>
  <c r="D35" i="29"/>
  <c r="B35" i="29" s="1"/>
  <c r="F99" i="29"/>
  <c r="E99" i="29"/>
  <c r="D99" i="29"/>
  <c r="B99" i="29" s="1"/>
  <c r="F163" i="29"/>
  <c r="E163" i="29"/>
  <c r="D163" i="29"/>
  <c r="B163" i="29" s="1"/>
  <c r="H16" i="29"/>
  <c r="G16" i="29"/>
  <c r="H15" i="29"/>
  <c r="G15" i="29"/>
  <c r="H42" i="29"/>
  <c r="G42" i="29"/>
  <c r="H72" i="29"/>
  <c r="G72" i="29"/>
  <c r="H34" i="29"/>
  <c r="G34" i="29"/>
  <c r="H61" i="29"/>
  <c r="G61" i="29"/>
  <c r="H97" i="29"/>
  <c r="G97" i="29"/>
  <c r="H135" i="29"/>
  <c r="G135" i="29"/>
  <c r="H27" i="29"/>
  <c r="G27" i="29"/>
  <c r="H47" i="29"/>
  <c r="G47" i="29"/>
  <c r="H101" i="29"/>
  <c r="G101" i="29"/>
  <c r="H110" i="29"/>
  <c r="G110" i="29"/>
  <c r="H130" i="29"/>
  <c r="G130" i="29"/>
  <c r="H162" i="29"/>
  <c r="G162" i="29"/>
  <c r="H57" i="29"/>
  <c r="G57" i="29"/>
  <c r="H74" i="29"/>
  <c r="G74" i="29"/>
  <c r="H121" i="29"/>
  <c r="G121" i="29"/>
  <c r="G151" i="29"/>
  <c r="H151" i="29"/>
  <c r="H37" i="29"/>
  <c r="G37" i="29"/>
  <c r="G91" i="29"/>
  <c r="H91" i="29"/>
  <c r="H140" i="29"/>
  <c r="G140" i="29"/>
  <c r="H38" i="29"/>
  <c r="G38" i="29"/>
  <c r="H63" i="29"/>
  <c r="G63" i="29"/>
  <c r="H79" i="29"/>
  <c r="G79" i="29"/>
  <c r="H117" i="29"/>
  <c r="G117" i="29"/>
  <c r="H137" i="29"/>
  <c r="G137" i="29"/>
  <c r="H161" i="29"/>
  <c r="G161" i="29"/>
  <c r="H88" i="29"/>
  <c r="G88" i="29"/>
  <c r="H77" i="29"/>
  <c r="G77" i="29"/>
  <c r="H17" i="29"/>
  <c r="G17" i="29"/>
  <c r="H50" i="29"/>
  <c r="G50" i="29"/>
  <c r="H102" i="29"/>
  <c r="G102" i="29"/>
  <c r="H112" i="29"/>
  <c r="G112" i="29"/>
  <c r="G131" i="29"/>
  <c r="H131" i="29"/>
  <c r="H30" i="29"/>
  <c r="G30" i="29"/>
  <c r="H60" i="29"/>
  <c r="G60" i="29"/>
  <c r="H76" i="29"/>
  <c r="G76" i="29"/>
  <c r="G127" i="29"/>
  <c r="H127" i="29"/>
  <c r="H153" i="29"/>
  <c r="G153" i="29"/>
  <c r="H40" i="29"/>
  <c r="G40" i="29"/>
  <c r="H93" i="29"/>
  <c r="G93" i="29"/>
  <c r="H144" i="29"/>
  <c r="G144" i="29"/>
  <c r="H41" i="29"/>
  <c r="G41" i="29"/>
  <c r="H65" i="29"/>
  <c r="G65" i="29"/>
  <c r="H81" i="29"/>
  <c r="G81" i="29"/>
  <c r="H118" i="29"/>
  <c r="G118" i="29"/>
  <c r="G143" i="29"/>
  <c r="H143" i="29"/>
  <c r="H109" i="29"/>
  <c r="G109" i="29"/>
  <c r="H142" i="29"/>
  <c r="G142" i="29"/>
  <c r="H56" i="29"/>
  <c r="G56" i="29"/>
  <c r="G103" i="29"/>
  <c r="H103" i="29"/>
  <c r="H114" i="29"/>
  <c r="G114" i="29"/>
  <c r="H145" i="29"/>
  <c r="G145" i="29"/>
  <c r="H33" i="29"/>
  <c r="G33" i="29"/>
  <c r="H62" i="29"/>
  <c r="G62" i="29"/>
  <c r="H78" i="29"/>
  <c r="G78" i="29"/>
  <c r="H133" i="29"/>
  <c r="G133" i="29"/>
  <c r="H164" i="29"/>
  <c r="G164" i="29"/>
  <c r="G43" i="29"/>
  <c r="H43" i="29"/>
  <c r="H100" i="29"/>
  <c r="G100" i="29"/>
  <c r="H146" i="29"/>
  <c r="G146" i="29"/>
  <c r="H44" i="29"/>
  <c r="G44" i="29"/>
  <c r="H67" i="29"/>
  <c r="G67" i="29"/>
  <c r="H83" i="29"/>
  <c r="G83" i="29"/>
  <c r="H120" i="29"/>
  <c r="G120" i="29"/>
  <c r="H149" i="29"/>
  <c r="G149" i="29"/>
  <c r="H53" i="29"/>
  <c r="G53" i="29"/>
  <c r="H136" i="29"/>
  <c r="G136" i="29"/>
  <c r="H23" i="29"/>
  <c r="G23" i="29"/>
  <c r="H26" i="29"/>
  <c r="G26" i="29"/>
  <c r="H104" i="29"/>
  <c r="G104" i="29"/>
  <c r="H148" i="29"/>
  <c r="G148" i="29"/>
  <c r="H36" i="29"/>
  <c r="G36" i="29"/>
  <c r="H64" i="29"/>
  <c r="G64" i="29"/>
  <c r="H80" i="29"/>
  <c r="G80" i="29"/>
  <c r="H134" i="29"/>
  <c r="G134" i="29"/>
  <c r="H18" i="29"/>
  <c r="G18" i="29"/>
  <c r="H52" i="29"/>
  <c r="G52" i="29"/>
  <c r="H111" i="29"/>
  <c r="G111" i="29"/>
  <c r="H147" i="29"/>
  <c r="G147" i="29"/>
  <c r="H45" i="29"/>
  <c r="G45" i="29"/>
  <c r="H69" i="29"/>
  <c r="G69" i="29"/>
  <c r="G87" i="29"/>
  <c r="H87" i="29"/>
  <c r="H122" i="29"/>
  <c r="G122" i="29"/>
  <c r="H150" i="29"/>
  <c r="G150" i="29"/>
  <c r="H20" i="29"/>
  <c r="G20" i="29"/>
  <c r="H108" i="29"/>
  <c r="G108" i="29"/>
  <c r="G35" i="29"/>
  <c r="H35" i="29"/>
  <c r="H22" i="29"/>
  <c r="G22" i="29"/>
  <c r="G59" i="29"/>
  <c r="H59" i="29"/>
  <c r="G115" i="29"/>
  <c r="H115" i="29"/>
  <c r="H28" i="29"/>
  <c r="G28" i="29"/>
  <c r="H29" i="29"/>
  <c r="G29" i="29"/>
  <c r="H89" i="29"/>
  <c r="G89" i="29"/>
  <c r="H105" i="29"/>
  <c r="G105" i="29"/>
  <c r="H116" i="29"/>
  <c r="G116" i="29"/>
  <c r="H152" i="29"/>
  <c r="G152" i="29"/>
  <c r="H46" i="29"/>
  <c r="G46" i="29"/>
  <c r="H66" i="29"/>
  <c r="G66" i="29"/>
  <c r="H84" i="29"/>
  <c r="G84" i="29"/>
  <c r="H138" i="29"/>
  <c r="G138" i="29"/>
  <c r="H21" i="29"/>
  <c r="G21" i="29"/>
  <c r="H58" i="29"/>
  <c r="G58" i="29"/>
  <c r="H113" i="29"/>
  <c r="G113" i="29"/>
  <c r="H155" i="29"/>
  <c r="G155" i="29"/>
  <c r="H49" i="29"/>
  <c r="G49" i="29"/>
  <c r="G71" i="29"/>
  <c r="H71" i="29"/>
  <c r="H92" i="29"/>
  <c r="G92" i="29"/>
  <c r="H123" i="29"/>
  <c r="G123" i="29"/>
  <c r="H154" i="29"/>
  <c r="G154" i="29"/>
  <c r="H128" i="29"/>
  <c r="G128" i="29"/>
  <c r="G19" i="29"/>
  <c r="H19" i="29"/>
  <c r="H32" i="29"/>
  <c r="G32" i="29"/>
  <c r="H90" i="29"/>
  <c r="G90" i="29"/>
  <c r="H106" i="29"/>
  <c r="G106" i="29"/>
  <c r="G119" i="29"/>
  <c r="H119" i="29"/>
  <c r="H156" i="29"/>
  <c r="G156" i="29"/>
  <c r="H48" i="29"/>
  <c r="G48" i="29"/>
  <c r="H68" i="29"/>
  <c r="G68" i="29"/>
  <c r="H85" i="29"/>
  <c r="G85" i="29"/>
  <c r="G139" i="29"/>
  <c r="H139" i="29"/>
  <c r="H24" i="29"/>
  <c r="G24" i="29"/>
  <c r="H82" i="29"/>
  <c r="G82" i="29"/>
  <c r="H129" i="29"/>
  <c r="G129" i="29"/>
  <c r="H157" i="29"/>
  <c r="G157" i="29"/>
  <c r="H54" i="29"/>
  <c r="G54" i="29"/>
  <c r="H73" i="29"/>
  <c r="G73" i="29"/>
  <c r="H95" i="29"/>
  <c r="G95" i="29"/>
  <c r="H125" i="29"/>
  <c r="G125" i="29"/>
  <c r="H160" i="29"/>
  <c r="G160" i="29"/>
  <c r="H99" i="29"/>
  <c r="G99" i="29"/>
  <c r="H25" i="29"/>
  <c r="G25" i="29"/>
  <c r="H39" i="29"/>
  <c r="G39" i="29"/>
  <c r="H98" i="29"/>
  <c r="G98" i="29"/>
  <c r="G107" i="29"/>
  <c r="H107" i="29"/>
  <c r="H124" i="29"/>
  <c r="G124" i="29"/>
  <c r="H159" i="29"/>
  <c r="G159" i="29"/>
  <c r="H51" i="29"/>
  <c r="G51" i="29"/>
  <c r="H70" i="29"/>
  <c r="G70" i="29"/>
  <c r="H94" i="29"/>
  <c r="G94" i="29"/>
  <c r="H141" i="29"/>
  <c r="G141" i="29"/>
  <c r="G31" i="29"/>
  <c r="H31" i="29"/>
  <c r="H86" i="29"/>
  <c r="G86" i="29"/>
  <c r="H132" i="29"/>
  <c r="G132" i="29"/>
  <c r="H158" i="29"/>
  <c r="G158" i="29"/>
  <c r="G55" i="29"/>
  <c r="H55" i="29"/>
  <c r="G75" i="29"/>
  <c r="H75" i="29"/>
  <c r="H96" i="29"/>
  <c r="G96" i="29"/>
  <c r="H126" i="29"/>
  <c r="G126" i="29"/>
  <c r="G163" i="29"/>
  <c r="H163" i="29"/>
  <c r="L82" i="29" l="1"/>
  <c r="L96" i="29" s="1"/>
  <c r="I71" i="29"/>
  <c r="I87" i="29"/>
  <c r="I43" i="29"/>
  <c r="I59" i="29"/>
  <c r="I31" i="29"/>
  <c r="I94" i="29"/>
  <c r="I25" i="29"/>
  <c r="I95" i="29"/>
  <c r="I85" i="29"/>
  <c r="I92" i="29"/>
  <c r="I84" i="29"/>
  <c r="I28" i="29"/>
  <c r="I83" i="29"/>
  <c r="I78" i="29"/>
  <c r="I65" i="29"/>
  <c r="I40" i="29"/>
  <c r="I60" i="29"/>
  <c r="I88" i="29"/>
  <c r="I79" i="29"/>
  <c r="I74" i="29"/>
  <c r="I72" i="29"/>
  <c r="I86" i="29"/>
  <c r="I70" i="29"/>
  <c r="I73" i="29"/>
  <c r="I82" i="29"/>
  <c r="I68" i="29"/>
  <c r="I58" i="29"/>
  <c r="I66" i="29"/>
  <c r="I80" i="29"/>
  <c r="I53" i="29"/>
  <c r="I67" i="29"/>
  <c r="I62" i="29"/>
  <c r="I41" i="29"/>
  <c r="I30" i="29"/>
  <c r="I50" i="29"/>
  <c r="I63" i="29"/>
  <c r="I37" i="29"/>
  <c r="I57" i="29"/>
  <c r="I42" i="29"/>
  <c r="I51" i="29"/>
  <c r="I54" i="29"/>
  <c r="I24" i="29"/>
  <c r="I48" i="29"/>
  <c r="I90" i="29"/>
  <c r="I49" i="29"/>
  <c r="I21" i="29"/>
  <c r="I46" i="29"/>
  <c r="I89" i="29"/>
  <c r="I20" i="29"/>
  <c r="I69" i="29"/>
  <c r="I52" i="29"/>
  <c r="I64" i="29"/>
  <c r="I26" i="29"/>
  <c r="I44" i="29"/>
  <c r="I33" i="29"/>
  <c r="I56" i="29"/>
  <c r="I17" i="29"/>
  <c r="I38" i="29"/>
  <c r="I47" i="29"/>
  <c r="I61" i="29"/>
  <c r="I15" i="29"/>
  <c r="I75" i="29"/>
  <c r="I55" i="29"/>
  <c r="I39" i="29"/>
  <c r="I32" i="29"/>
  <c r="I29" i="29"/>
  <c r="I22" i="29"/>
  <c r="I45" i="29"/>
  <c r="I18" i="29"/>
  <c r="I36" i="29"/>
  <c r="I23" i="29"/>
  <c r="I81" i="29"/>
  <c r="I93" i="29"/>
  <c r="I76" i="29"/>
  <c r="I77" i="29"/>
  <c r="I27" i="29"/>
  <c r="I34" i="29"/>
  <c r="I16" i="29"/>
  <c r="I19" i="29"/>
  <c r="I35" i="29"/>
  <c r="I91" i="29"/>
</calcChain>
</file>

<file path=xl/sharedStrings.xml><?xml version="1.0" encoding="utf-8"?>
<sst xmlns="http://schemas.openxmlformats.org/spreadsheetml/2006/main" count="1304" uniqueCount="766">
  <si>
    <t>EVALUACIÓN INDEPENDIENTE SISTEMA DE CONTROL INTERNO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</si>
  <si>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 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t>
  </si>
  <si>
    <t>Orientaciones Generales</t>
  </si>
  <si>
    <r>
      <t xml:space="preserve">El archivo contiene las siguientes hojas:
 -  </t>
    </r>
    <r>
      <rPr>
        <b/>
        <sz val="11"/>
        <rFont val="Arial Narrow"/>
        <family val="2"/>
      </rPr>
      <t xml:space="preserve">Pestañas por cada uno de los componentes de control interno: </t>
    </r>
    <r>
      <rPr>
        <sz val="10"/>
        <rFont val="Arial Narrow"/>
        <family val="2"/>
      </rPr>
      <t>"Ambiente de Control", "Evaluación de riesgos", "Actividades de control", "Información y Comunicación", y " Actividades de Monitoreo". las cuales cuentan todas con la siguiente estructura:</t>
    </r>
  </si>
  <si>
    <t>Columna</t>
  </si>
  <si>
    <t>Descripción</t>
  </si>
  <si>
    <r>
      <t xml:space="preserve">
</t>
    </r>
    <r>
      <rPr>
        <b/>
        <i/>
        <u/>
        <sz val="9"/>
        <rFont val="Arial Narrow"/>
        <family val="2"/>
      </rPr>
      <t>Lineamiento X:</t>
    </r>
  </si>
  <si>
    <t>Esta columna define los lineamientos generales para cada uno de los componentes del MECI y se asocian los temas específicos que se deben analizar en cada uno.</t>
  </si>
  <si>
    <t>DIMENSIÓN O POLÍTICA DEL MIPG ASOCIADA AL REQUERIMIENTO</t>
  </si>
  <si>
    <t>En esta columna se deben asociar la (las) dimensión (es), así como la (s) política (s) de gestión y desempeño que permiten el desarrollo del tema en la entidad, en el marco del Modelo Integrado de Planeación y Gestión MIPG.</t>
  </si>
  <si>
    <r>
      <t>Evaluación "</t>
    </r>
    <r>
      <rPr>
        <b/>
        <sz val="10"/>
        <rFont val="Arial Narrow"/>
        <family val="2"/>
      </rPr>
      <t>si se encuentra Presente"</t>
    </r>
    <r>
      <rPr>
        <b/>
        <sz val="9"/>
        <rFont val="Arial Narrow"/>
        <family val="2"/>
      </rPr>
      <t xml:space="preserve">
</t>
    </r>
    <r>
      <rPr>
        <sz val="9"/>
        <rFont val="Arial Narrow"/>
        <family val="2"/>
      </rPr>
      <t>Referencia a Procesos, Manuales/Políticas de Operación/Procedimientos/Instructivos u otros desarrollos que den cuente de su aplicación</t>
    </r>
  </si>
  <si>
    <t>Indicar el nombre del proceso, manual, política de operación, procedimiento o instructivo en donde se encuentra documentado y su fuente de consulta.
De acuerdo con lo identificado como resultado de la evaluación del requerimiento, seleccione de la lista desplegable 1, 2 o 3 de acuerdo con las siguientes definiciones:
1 - No existen actividades diseñadas para cubrir el requerimiento. 
2 - Existen actividades diseñadas o en proceso de diseño, pero éstas no se encuentran documentadas en las políticas/procedimientos u otras herramientas
3 - Las actividades se encuentran diseñadas, documentadas y socializadas de acuerdo con el requerimiento.
Nota: Entiendase "diseñada" como aquella actividad que cuenta con un responsable(s), periodicidad (cada cuanto se realiza ), proposito (objetivo), Como se lleva a cabo  (procedimiento), qué pasa con las desviaciones y/o excepciones (producto de su ejecucion) y cuenta con evidencia (documentacion).</t>
  </si>
  <si>
    <t>EVIDENCIA DEL CONTROL</t>
  </si>
  <si>
    <t>No.</t>
  </si>
  <si>
    <t>Relaciona el consecutivo de las evidencias que se identifican en relación con la efectividad del control.</t>
  </si>
  <si>
    <t>Referencia a Análisis y verificaciones en el marco del Comité Institucional de Coordinación de Control Interno</t>
  </si>
  <si>
    <t>Indicar las acciones que se han adelantado para evaluar el estado del Sistema de Control Interno en el marco del Comité Institucional de Coordinación de Control Interno. Acciones entendidas a las modificaciones, actualizaciones y actividades de fortalecimiento del sistema a partir de la normatividad vigente.</t>
  </si>
  <si>
    <t xml:space="preserve">Observaciones de la evaluacion independiente (tener encuenta papel de  líneas de defensa) </t>
  </si>
  <si>
    <t>Indicar las acciones que se han adelantado en el marco de la evaluaciòn independiente (auditoria interna), sobre el estado del Sistema de Control Interno . Acciones entendidas en la evaluación y monitoreo de la efectividad del control, incluyendo el seguimiento a los controles de la primera y segunda linea de defensa.</t>
  </si>
  <si>
    <r>
      <t xml:space="preserve">Evaluación </t>
    </r>
    <r>
      <rPr>
        <b/>
        <sz val="10"/>
        <rFont val="Arial Narrow"/>
        <family val="2"/>
      </rPr>
      <t>"si se encuentra Funcionando"</t>
    </r>
  </si>
  <si>
    <t>Seleccionar de la lista desplegable 1, 2 o 3 de acuerdo con los siguientes criterios y basado en los resultados reportados por la Oficina de Control Interno así:
1 - El control  no opera como está diseñado o bien no está presente (no se ha implementado)
2 - El control opera como está diseñado pero con algunas falencias
3-  El control opera como está diseñado y es efectivo frente al cumplimiento de los objetivos y para evitar la materialización del riesgo.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</si>
  <si>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establecer si el Sistema de Control Interno evaluado se encuentra </t>
    </r>
    <r>
      <rPr>
        <b/>
        <sz val="10"/>
        <rFont val="Arial Narrow"/>
        <family val="2"/>
      </rPr>
      <t>PRESENTE y FUNCIONANDO</t>
    </r>
    <r>
      <rPr>
        <sz val="10"/>
        <rFont val="Arial Narrow"/>
        <family val="2"/>
      </rPr>
      <t xml:space="preserve">, permitiéndo definir puntos de mejora a través de los componentes del MECI y </t>
    </r>
    <r>
      <rPr>
        <sz val="10"/>
        <color rgb="FFFF0000"/>
        <rFont val="Arial Narrow"/>
        <family val="2"/>
      </rPr>
      <t>su articulacion</t>
    </r>
    <r>
      <rPr>
        <sz val="10"/>
        <rFont val="Arial Narrow"/>
        <family val="2"/>
      </rPr>
      <t xml:space="preserve"> con las Dimensiones del MIPG.</t>
    </r>
  </si>
  <si>
    <t xml:space="preserve">Clasificación </t>
  </si>
  <si>
    <t>Observaciones del Control</t>
  </si>
  <si>
    <t>Mantenimiento del Control</t>
  </si>
  <si>
    <t>Cuando en el análisis de los requerimientos en los diferentes componentes del MECI se cuente con aspectos evaluados en nivel 3 (presente) y 3 (funcionando).</t>
  </si>
  <si>
    <t>Se encuentra presente y funciona correctamente, por lo tanto se requiere acciones o actividades  dirigidas a su mantenimiento dentro del marco de las lineas de defensa.</t>
  </si>
  <si>
    <t>Oportunidad de Mejora</t>
  </si>
  <si>
    <t>Cuando en el análisis de los requerimientos en los diferentes componentes del MECI se cuente con aspectos evaluados en nivel 2 (presente) y 3 (funcionando).</t>
  </si>
  <si>
    <t xml:space="preserve"> Se encuentra presente  y funcionando, pero requiere mejoras frente a su diseño, ya que  opera de manera efectiva
</t>
  </si>
  <si>
    <t>Deficiencia de Control
(Diseño o Ejecución)</t>
  </si>
  <si>
    <t>Cuando en el análisis de los requerimientos en los diferentes componentes del MECI se cuente con aspectos evaluados en nivel 2 (presente) y 2 (funcionando); 3 (presente) y 1 (funcionando); 3 (presente) y 2 (funcionando); 2 (presente) y 1 (funcionando)</t>
  </si>
  <si>
    <t>Se encuentra presente y funcionando, pero requiere acciones dirigidas a fortalecer  o mejorar su diseño y/o ejecucion.</t>
  </si>
  <si>
    <t>Deficiencia de Control Mayor
(Diseño y Ejecución)</t>
  </si>
  <si>
    <t>Cuando en el análisis de los requerimientos en los diferentes componentes del MECI se cuente con aspectos evaluados en nivel 1 (presente) y 1 (funcionando);1 (presente) y 2 (funcionando); 1(presente) y 3 (funcionando).</t>
  </si>
  <si>
    <t>No se encuentra presente  por lo tanto no esta funcionando, lo que hace que se requieran acciones dirigidas a fortalecer su diseño y puesta en marcha</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</si>
  <si>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si el Sistema de Control Interno evaluado se encuentra </t>
    </r>
    <r>
      <rPr>
        <b/>
        <sz val="10"/>
        <rFont val="Arial Narrow"/>
        <family val="2"/>
      </rPr>
      <t>PRESENTE y FUNCIONANDO</t>
    </r>
    <r>
      <rPr>
        <sz val="10"/>
        <rFont val="Arial Narrow"/>
        <family val="2"/>
      </rPr>
      <t>, definiendo puntos de mejora a través de los componentes del MECI y su relación con las Dimensiones del MIPG.</t>
    </r>
  </si>
  <si>
    <r>
      <t xml:space="preserve"> -</t>
    </r>
    <r>
      <rPr>
        <sz val="11"/>
        <rFont val="Arial Narrow"/>
        <family val="2"/>
      </rPr>
      <t xml:space="preserve"> </t>
    </r>
    <r>
      <rPr>
        <b/>
        <sz val="11"/>
        <rFont val="Arial Narrow"/>
        <family val="2"/>
      </rPr>
      <t>Definiciones:</t>
    </r>
    <r>
      <rPr>
        <sz val="11"/>
        <rFont val="Arial Narrow"/>
        <family val="2"/>
      </rPr>
      <t xml:space="preserve"> A</t>
    </r>
    <r>
      <rPr>
        <sz val="10"/>
        <rFont val="Arial Narrow"/>
        <family val="2"/>
      </rPr>
      <t>lgunos términos asociados a con control interno y utilizados en diferentes partes del formato.</t>
    </r>
  </si>
  <si>
    <t>Términos y Definiciones</t>
  </si>
  <si>
    <t>Término</t>
  </si>
  <si>
    <t>Actividad de control</t>
  </si>
  <si>
    <t>Acciones establecidas en los procesos, políticas, procedimientos u otras herramientas que permiten que se lleven a cabo las instrucciones de la Administración para mitigar los riesgos relacionados con el logro de los objetivos. Las Actividades de Control son un Componente del Control Interno.</t>
  </si>
  <si>
    <t>Alta Dirección</t>
  </si>
  <si>
    <t>Comprende los empleos del Nivel Directivo a los cuales corresponden funciones de dirección general, de formulación de políticas institucionales y de adopción de planes, programas y proyectos. (Decreto 770 de 2005)</t>
  </si>
  <si>
    <t>Ambiente de control</t>
  </si>
  <si>
    <t>El ambiente de control establece el tono de una organización. Es la base de los otros componentes del control interno pues define los valores y principios con los cuales se rige la entidad e influye en la conciencia de los servidores sobre la forma en que se deben llevar a cabo las operaciones.</t>
  </si>
  <si>
    <t>Comité Institucional de Coordinación de Control Interno</t>
  </si>
  <si>
    <t>Comité Institucional de Gestión y Desempeño</t>
  </si>
  <si>
    <t>Instancia del más alto nivel jerárquico, encargado de orientar la implementación y operación del Modelo Integrado de Planeación y Gestión MIPG, de oblgatoria conformación para todas las entidades estatales. (Decreto 1499 de 2017).</t>
  </si>
  <si>
    <t>Componente</t>
  </si>
  <si>
    <t>Uno de los cinco elementos del Modelo Estándar de Control Interno MECI.</t>
  </si>
  <si>
    <t>Conflicto de interés</t>
  </si>
  <si>
    <t>Situación en la cual un auditor interno, que ocupa un puesto de confianza, tiene interés personal o profesional en competencia con otros intereses. Tales intereses pueden hacerle difícil el cumplimiento imparcial de sus tareas. (Tomado de las Normas Internacionales de Auditoría Interna Norma 1120)
En el sector público el conflicto de interés existe cuando el interés personal de quien ejerce una función pública colisiona con los deberes y obligaciones del cargo que desempeña. (Guía Conflictos de Interés de Servidores Públicos. Función Pública. 2018).</t>
  </si>
  <si>
    <t>Control Interno</t>
  </si>
  <si>
    <t>Estructura de procesos, políticas, procedimientos, manuales y otras herramientas diseñadas por la entidad para proporcionar seguridad razonable de que los objetivos y metas se alcanzarán y que los eventos no deseados se evitaran o bien se detectaran y corregirán.</t>
  </si>
  <si>
    <t>Control interno efectivo</t>
  </si>
  <si>
    <t>El Sistema de Control Interno para que sea efectivo requiere que cada uno de los cinco componentes del MECI y sus lineamientos, estén presentes, funcionando y operando de manera articulada con el MIPG.</t>
  </si>
  <si>
    <t>Controles generales de TI</t>
  </si>
  <si>
    <t>Actividades de control que ayudan a asegurar la apropiada operación de la tecnología, incluyen los controles sobre la infraestructura de tecnología, seguridad de la información, adquisición de tecnología  su desarrollo y mantenimiento.</t>
  </si>
  <si>
    <t>Corrupción</t>
  </si>
  <si>
    <t>Posibilidad de que por acción u omisión, se use el poder para desviar la gestión de lo público hacia un beneficio privado.  (Secretaría de Transparencia)</t>
  </si>
  <si>
    <t>COSO</t>
  </si>
  <si>
    <t>Committe of Sponsoring Organizations of the Treadway Commission (por sus siglas en inglés). COSO es una iniciativa conjunta de cinco organizaciones del sector privado y se dedica a liderar el desarrollo de marcos y guías en control interno y gestión de riesgos.</t>
  </si>
  <si>
    <t>Cumplimiento</t>
  </si>
  <si>
    <t>Esta relacionado con el cumplimiento a las leyes y regulaciones aplicables a la Entidad.</t>
  </si>
  <si>
    <t>Deficiencia de control</t>
  </si>
  <si>
    <t xml:space="preserve">Es una falla con respecto a un control particular o actividad de control. </t>
  </si>
  <si>
    <t>Deficiencia del Sistema de control interno</t>
  </si>
  <si>
    <t>Se asocia a fallas o brechas en un componente o componentes y sus lineamientos que tiene la capacidad para generar riesgos.</t>
  </si>
  <si>
    <t>Evaluación de Riesgos</t>
  </si>
  <si>
    <t>Proceso que permite a cada entidad identificar, analizar y administrar riesgos relevantes para el logro de sus objetivos.</t>
  </si>
  <si>
    <t>Evaluaciones continuas</t>
  </si>
  <si>
    <t>Corresponden a actividades (manuales o automáticas) que sirven para monitorear la efectividad del control interno en el día a día de las operaciones. Estas evaluaciones incluyen actos regulares de administración, comparaciones, conciliaciones y otras acciones rutinarias.</t>
  </si>
  <si>
    <t>Evaluaciones separadas</t>
  </si>
  <si>
    <t>Incluye autoevaluaciones, en las que las personas responsables por una unidad o función particular (2a línea de defensa) determinan la efectividad de los controles para sus actividades clave para el logro de los objetivos institucionales.
Así mismo, se incluyen las evaluaciones realizadas por las Auditorías (interna y externa).</t>
  </si>
  <si>
    <t>Funcionando</t>
  </si>
  <si>
    <t>La determinación que los componentes y lineamientos son aplicados de forma sistemática como han sido diseñados y es posible analizar su efectividad para evitar la materialización de riesgos, mediante el contraste de información relevante.</t>
  </si>
  <si>
    <t>Integridad</t>
  </si>
  <si>
    <t>El economista estadounidense Anthony Downs “la integridad consiste en la coherencia entre las declaraciones y las realizaciones[1]”, entendiéndose esta como una característica personal, que en el sector público también se refiere al cumplimiento de la promesa que cada servidor le hace al Estado y a la ciudadanía de ejercer a cabalidad su labor. (Tomado micrositio MIPG, Dimensión Talento Humano).</t>
  </si>
  <si>
    <t>Lineamiento</t>
  </si>
  <si>
    <t>Especificaciones fundamentales asociadas a cada uno de los componentes del MECI que permitirán establecer la efectividad del Sistema de Control Interno.</t>
  </si>
  <si>
    <t xml:space="preserve">Mantenimieto del Control </t>
  </si>
  <si>
    <t xml:space="preserve">Verificar periodicamente el control y ante cambios en el entorno externo o interno realizar los ajustes correspondientes o incluir un nuevo control </t>
  </si>
  <si>
    <t>Mapa de riesgos</t>
  </si>
  <si>
    <t>Herramiento cualitativa que permite identificar los riesgos de la organización en el cual se presenta una descripción de cada uno de ellos y su tratamiento.</t>
  </si>
  <si>
    <t>Hallazgo en el cual sí existe un cumplimiento, pero a pesar de ello se determina, bajo criterios objetivos, que existe un margen de mejora para optimizar más una actividad, tarea o proceso concreto.</t>
  </si>
  <si>
    <t>Política</t>
  </si>
  <si>
    <t>Declaración emitida por la administración acerca de lo que debe hacerse para el control. Las políticas son la base para la definición de procedimientos.</t>
  </si>
  <si>
    <t>Presente</t>
  </si>
  <si>
    <t>La determinación que existen en diseño e implementación de los requerimientos asociados a las políticas de gestión y desempeño.</t>
  </si>
  <si>
    <t>Procedimiento</t>
  </si>
  <si>
    <t>Actividades desagregadas que implementan una política o determinan acciones concretas para la consecución de un objetivo o meta.</t>
  </si>
  <si>
    <t>Reporte</t>
  </si>
  <si>
    <t>Información suministrada por diferentes instancias de la entidad, que incluye datos internos y externos, así como información financiera y no financiera, necesaria para la toma de decisiones.</t>
  </si>
  <si>
    <t>Riesgo</t>
  </si>
  <si>
    <t>La posibilidad de que un evento ocurra y afecte de manera adversa el logro de los objetivos.</t>
  </si>
  <si>
    <t>Riesgo inherente</t>
  </si>
  <si>
    <t xml:space="preserve">El riesgo frente al logro de los objetivos en ausencia de cualquier acción por parte de la administración para afectar el impacto o probabilidad de dicho riesgo. </t>
  </si>
  <si>
    <t>Riesgo residual</t>
  </si>
  <si>
    <t>El riesgo frente al logro de los objetivos que permanece una vez la respuesta al riesgo ha sido diseñada e implementada por parte de la administración.</t>
  </si>
  <si>
    <t>Segregación de Funciones</t>
  </si>
  <si>
    <t>Se refiere a la asignación de las responsabilidades con diferentes niveles de autorización con el fin de reducir errores o posibles situaciones de corrupción durante el normal desarrollo de sus funciones.</t>
  </si>
  <si>
    <t>Seguridad razonable</t>
  </si>
  <si>
    <t>Determina que no importa que tan bien esté diseñado e implementado el control interno, no se puede garantizar que los objetivos de la entidad se van a cumplir. Esto por las limitaciones inherentes de todo Sistemas de Control Interno.</t>
  </si>
  <si>
    <t xml:space="preserve">Evaluación Independiente </t>
  </si>
  <si>
    <t xml:space="preserve">Se entiende como las prácticas de examen al control interno y ejercicio de auditoría llevadas a cabo por la oficina de control interno o quien haga sus veces, teniendo en cuenta las normas de auditoria generalmente aceptadas. </t>
  </si>
  <si>
    <t>Lineas de Defensa</t>
  </si>
  <si>
    <t>Esquema de asignación de responsabilidades, adaptada del Modelo de las 3 Líneas de Defensa” del Instituto de Auditores, el cual proporciona una manera simple y efectiva para mejorar las comunicaciones en la gestión de riesgos y control mediante la aclaración de las funciones y deberes esenciales relacionados, que permiten contar con diferentes niveles para el control.</t>
  </si>
  <si>
    <t>AMBIENTE DE CONTROL</t>
  </si>
  <si>
    <t>La entidad debe asegurar un ambiente de control que le permita disponer de las condiciones mínimas para el ejercicio del control interno. Esto se logra con el compromiso, liderazgo y los lineamientos de la alta dirección y del Comité Institucional de Coordinación de Control Interno. El Ambiente de Control es el fundamento de todos los demás componentes del control interno, se incluyen la integridad y valores éticos, la competencia (capacidad) de los servidores de la entidad; la manera en que la Alta Dirección asigna autoridad y responsabilidad, así como también el direccionamiento estratégico definido.</t>
  </si>
  <si>
    <t>ID</t>
  </si>
  <si>
    <t>Lineamiento 1: 
La entidad demuestra el compromiso con la integridad (valores) y principio+I186+C21:I31+I186+C21:I31+C21:I31+C21:I31</t>
  </si>
  <si>
    <r>
      <t xml:space="preserve">Explicación de cómo la Entidad </t>
    </r>
    <r>
      <rPr>
        <b/>
        <u/>
        <sz val="11"/>
        <color theme="0"/>
        <rFont val="Arial Narrow"/>
        <family val="2"/>
      </rPr>
      <t>evidencia</t>
    </r>
    <r>
      <rPr>
        <b/>
        <sz val="11"/>
        <color theme="0"/>
        <rFont val="Arial Narrow"/>
        <family val="2"/>
      </rPr>
      <t xml:space="preserve"> que está dando respuesta al requerimiento
</t>
    </r>
    <r>
      <rPr>
        <sz val="11"/>
        <color theme="0"/>
        <rFont val="Arial Narrow"/>
        <family val="2"/>
      </rPr>
      <t>Referencia a Procesos, Manuales/Políticas+C21:I31n/Procedimientos/Instructivos u otros desarrollos que den cuente de su aplicación</t>
    </r>
  </si>
  <si>
    <r>
      <t xml:space="preserve">Explicación de cómo la Entidad </t>
    </r>
    <r>
      <rPr>
        <b/>
        <u/>
        <sz val="11"/>
        <color theme="0"/>
        <rFont val="Arial Narrow"/>
        <family val="2"/>
      </rPr>
      <t>evidencia</t>
    </r>
    <r>
      <rPr>
        <b/>
        <sz val="11"/>
        <color theme="0"/>
        <rFont val="Arial Narrow"/>
        <family val="2"/>
      </rPr>
      <t xml:space="preserve"> que está dando respuesta al requerimiento
</t>
    </r>
    <r>
      <rPr>
        <sz val="11"/>
        <color theme="0"/>
        <rFont val="Arial Narrow"/>
        <family val="2"/>
      </rPr>
      <t>Referencia a Procesos, Manuales/Políticas de Operación/Procedimientos/Instructivos u otros desarrollos que den cuente de su aplicación</t>
    </r>
  </si>
  <si>
    <r>
      <t xml:space="preserve">Presente 
</t>
    </r>
    <r>
      <rPr>
        <i/>
        <sz val="11"/>
        <color theme="0"/>
        <rFont val="Arial Narrow"/>
        <family val="2"/>
      </rPr>
      <t>(1/2/3)</t>
    </r>
  </si>
  <si>
    <t xml:space="preserve">EVIDENCIA DEL CONTROL </t>
  </si>
  <si>
    <r>
      <t xml:space="preserve">Funcionando 
</t>
    </r>
    <r>
      <rPr>
        <i/>
        <sz val="11"/>
        <color theme="0"/>
        <rFont val="Arial Narrow"/>
        <family val="2"/>
      </rPr>
      <t>(1/2/3)</t>
    </r>
  </si>
  <si>
    <t xml:space="preserve">Evaluación </t>
  </si>
  <si>
    <t>EJEMPLO</t>
  </si>
  <si>
    <t xml:space="preserve"> Aplicación del Código de Integridad. (incluye análisis de desviaciones, convivencia laboral, temas disciplinarios internos, quejas o denuncias sobres los servidores de la entidad, u otros temas relacionados).</t>
  </si>
  <si>
    <t>Dimensión Talento Humano
Política Integridad</t>
  </si>
  <si>
    <t>Se implementó el Código de Integridad acorde con el esquema definido de 5 valores y sus lineamientos de conducta y se desarrollaron ejercicios internos con talleres para la socialización e interiorización a todos los servidores y contratistas de la entidad.</t>
  </si>
  <si>
    <t xml:space="preserve">Seguimiento al cumplimiento de la elaboracion y socializacion del Código de Integridad, con base en el informe presentando por la segunda linea de defensa (cuando aplique). </t>
  </si>
  <si>
    <t xml:space="preserve"> Se llevo a cabo un seguimiento a lo dispuesto en el marco del Comité Institucional de Coordinaciòn de Control Intenro, donde se determino la necesidad de estructurar el codigo de integridad siguiendo la metodologia de Funciòn Pùblica, para ello se delego como responsable del mismo al Secretario General.
Se encontro que se realizaron ejercicios ludicos y participativos para la construccion de los 5 valores institucionales, cada mes se  hacen campañas de interiorizacion de los mismo al personal de la entidad, teniendo como evidencia el compromiso de los funcionarios con el horario laboral, una reduccion del ausentismo asi como un bajo porcentaje de quejas por parte de los ciudadanos.
Por otra parte, se realiza seguimiento mensual por parte del Secretario General al cumplimiento de las actividades propuestas en el cronograma.</t>
  </si>
  <si>
    <t>En el marco del Comité Institucional de Control Interno bimensualmente se contrastan quejas internas y externas sobre situaciones irregulares.</t>
  </si>
  <si>
    <t>Se han analizado los temas más críticos acerca en relación con el ausentismo, acoso laboral, solicitudes de traslado y rotación del personal.</t>
  </si>
  <si>
    <t>1.1 Aplicación del Código de Integridad. (incluye análisis de desviaciones, convivencia laboral, temas disciplinarios internos, quejas o denuncias sobres los servidores de la entidad, u otros temas relacionados).</t>
  </si>
  <si>
    <t>Se implementó el Código de Integridad acorde con el esquema definido, ademas se socializó con el personal de la agencia</t>
  </si>
  <si>
    <t xml:space="preserve">1.2 Mecanismos para el manejo de conflictos de interés. </t>
  </si>
  <si>
    <t>A traves del Codigo de Integridad de SAPIENCIA, se establecen los mecanismos para el manejo de los conflictos de interes</t>
  </si>
  <si>
    <t>1.3 Mecanismos frente a la detección y prevención del uso inadecuado de información privilegiada u otras situaciones que puedan implicar riesgos para la entidad.</t>
  </si>
  <si>
    <t>Dimensión Información y Comunicación
Política Transparencia y Acceso a la Información Pública
Política Gestión Documental</t>
  </si>
  <si>
    <t xml:space="preserve">1.4 La evaluación de las acciones transversales de integridad, mediante el monitoreo permanente de los riesgos de corrupción. </t>
  </si>
  <si>
    <t>Dimension Talento Humano
Politica de Integridad</t>
  </si>
  <si>
    <t>Identificacion y formulacion de Riesgos de corrupcion</t>
  </si>
  <si>
    <t>Formulación del mapa de riesgos bajo nueva metodología</t>
  </si>
  <si>
    <t xml:space="preserve">1.5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
</t>
  </si>
  <si>
    <t>Dimensión Direccionamiento Estratégico y Planeación
Plan Anticorrupción y de Atención al Ciudadano</t>
  </si>
  <si>
    <t>Se ha analizado la viabilidad de una linea de denuncia interna sobre situaciones irregulares o posibles incumplimientos al codigo de integridad</t>
  </si>
  <si>
    <t>Modulo de las PQRSDF</t>
  </si>
  <si>
    <t>Sistema Mercurio</t>
  </si>
  <si>
    <t>Micrositio de Integridad creado por Sapiencia.</t>
  </si>
  <si>
    <r>
      <rPr>
        <b/>
        <u/>
        <sz val="11"/>
        <color theme="0"/>
        <rFont val="Arial Narrow"/>
        <family val="2"/>
      </rPr>
      <t>Lineamiento 2:</t>
    </r>
    <r>
      <rPr>
        <sz val="11"/>
        <color theme="0"/>
        <rFont val="Arial Narrow"/>
        <family val="2"/>
      </rPr>
      <t xml:space="preserve"> 
Aplicación de mecanismos para ejercer una adecuada supervisión del Sistema de Control Interno </t>
    </r>
  </si>
  <si>
    <t>Evaluación</t>
  </si>
  <si>
    <t>2.1 Creación o actualización del Comité Institucional de Coordinación de Control Interno (incluye ajustes en periodicidad para reunión, articulación con el Comité Institucioanl de Gestión y Desempeño).</t>
  </si>
  <si>
    <t>Dimension Control Interno
Politica de Control Interno</t>
  </si>
  <si>
    <t>Mediante Resolucion 6914 de 2017 - se conforma y reglamenta el Comité de Coordinacion de Control Interno - de SAPIENCIA</t>
  </si>
  <si>
    <t>Resolucion 6914 de 2017  - conformacion Comité de Coordinación Control Interno</t>
  </si>
  <si>
    <t>2.2 Definición y documentación del Esquema de Líneas de Defensa</t>
  </si>
  <si>
    <t>Dimension Control Interno
Politica de Control Interno
Lineas de defensa</t>
  </si>
  <si>
    <t>El esquema de lineas de defensa estan bien definidos al interior de la Agencia, cada una cumple con su rol en el fortalecimeinto del Sistema de Control Interno</t>
  </si>
  <si>
    <t>Lineas de defensa SAPIENCIA</t>
  </si>
  <si>
    <t>Adopcion del MIPG, en el cual se describen las politicas y las lineas de defensa</t>
  </si>
  <si>
    <t>2.3 Definición de líneas de reporte en temas clave para la toma de decisiones, atendiendo el Esquema de Líneas de Defensa</t>
  </si>
  <si>
    <t>Dimension Control Interno
Politica de Control Interno
Linea de Defensa
Dimension de Informaciòn y Comunicaciòn</t>
  </si>
  <si>
    <t>Las lineas de reporte estan incluidas dentro del esquema de Lineas de defensa, son un mecanismo eficaz para la toma de decisiones</t>
  </si>
  <si>
    <t>Lineas de defensa y reporte de SAPIENCIA</t>
  </si>
  <si>
    <t>Adopcion MIPG, en el cual se adoptan los lineamientos de las Lineas de Reporte</t>
  </si>
  <si>
    <r>
      <rPr>
        <b/>
        <u/>
        <sz val="11"/>
        <color theme="0"/>
        <rFont val="Arial Narrow"/>
        <family val="2"/>
      </rPr>
      <t>Lineamiento 3:</t>
    </r>
    <r>
      <rPr>
        <sz val="11"/>
        <color theme="0"/>
        <rFont val="Arial Narrow"/>
        <family val="2"/>
      </rPr>
      <t xml:space="preserve"> 
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r>
  </si>
  <si>
    <t>3.1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t>
  </si>
  <si>
    <t>Dimension de Direccionamiento Estrategico y Planeaciòn
Politica de Planeaciòn Institucional 
Dimension Control Interno</t>
  </si>
  <si>
    <t>Plan de Acción Institucional</t>
  </si>
  <si>
    <t xml:space="preserve">3.2 La Alta Dirección frente a la política de Administración del Riesgo definen los niveles de aceptación del riesgo, teniendo en cuenta cada uno de los objetivos establecidos. </t>
  </si>
  <si>
    <t>Dimension Control Interno
Politica de Control Interno
Linea Estrategica</t>
  </si>
  <si>
    <t>3.3 Evaluación de la planeación estratégica, considerando alertas frente a posibles incumplimientos, necesidades de recursos, cambios en el entorno que puedan afectar su desarrollo, entre otros aspectos que garanticen de forma razonable su cumplimiento.</t>
  </si>
  <si>
    <t>Diimensiòn Evaluacion de Resultados 
Politica de Seguimiento y Evaluaciòn al Desemepeño Institucional
Dimension Control Interno
Lineas de defensa</t>
  </si>
  <si>
    <t>Se realiza seguimiento semestral al Mapa de Riesgos, en el que se verifica la materializacion y no materializacion del riesgo y las actividades desarrolladas para mitigar el impacto.</t>
  </si>
  <si>
    <r>
      <rPr>
        <b/>
        <u/>
        <sz val="11"/>
        <color theme="0"/>
        <rFont val="Arial Narrow"/>
        <family val="2"/>
      </rPr>
      <t>Lineamiento 4:</t>
    </r>
    <r>
      <rPr>
        <sz val="11"/>
        <color theme="0"/>
        <rFont val="Arial Narrow"/>
        <family val="2"/>
      </rPr>
      <t xml:space="preserve"> 
Compromiso con la competencia de todo el personal, por lo que la gestión del talento humano tiene un carácter estratégico con el despliegue de actividades clave para todo el ciclo de vida del servidor público –ingreso, permanencia y retiro.</t>
    </r>
  </si>
  <si>
    <t>4.1 Evaluación de la Planeación Estratégica del Talento Humano.</t>
  </si>
  <si>
    <t>Dimension de Talento Humano
Politica Gestion Estrategica del Talento Humano
Dimension de Control Interno
Lineas de Defensa</t>
  </si>
  <si>
    <t>Plan Estrategico de Talento Humano</t>
  </si>
  <si>
    <t>4.2 Evaluación de las actividades relacionadas con el Ingreso del personal.</t>
  </si>
  <si>
    <t>4.3 Evaluación de las actividades relacionadas con la permanencia del personal.</t>
  </si>
  <si>
    <t>Se hace seguimiento a los planes de incentivos y bienestar del personal de planta, evaluacion del clima laboral</t>
  </si>
  <si>
    <t>Evaluacion del clima laboral</t>
  </si>
  <si>
    <t>Plan de incentivos</t>
  </si>
  <si>
    <t>4.4Analizar si se cuenta con políticas claras y comunicadas relacionadas con la responsabilidad de cada servidor sobre el desarrollo y mantenimiento del control interno (1a línea de defensa)</t>
  </si>
  <si>
    <t>Se cuenta con politicas, manuales y procedimientos que permiten a los servidores entender el rol que cumplen con relacion al Sistema de Control Interno</t>
  </si>
  <si>
    <t>4.5 Evaluación de las actividades relacionadas con el retiro del personal.</t>
  </si>
  <si>
    <t>4.6 Evaluar el impacto del Plan Institucional de Capacitación - PIC</t>
  </si>
  <si>
    <t>4.7 Evaluación frente a los productos y servicios en los cuales participan los contratistas de apoyo.</t>
  </si>
  <si>
    <t>Informes de Auditoria</t>
  </si>
  <si>
    <t>Seguimiento a la implementacion de Acciones de Mejora</t>
  </si>
  <si>
    <r>
      <rPr>
        <b/>
        <u/>
        <sz val="11"/>
        <color theme="0"/>
        <rFont val="Arial Narrow"/>
        <family val="2"/>
      </rPr>
      <t>Lineamiento 5:</t>
    </r>
    <r>
      <rPr>
        <sz val="11"/>
        <color theme="0"/>
        <rFont val="Arial Narrow"/>
        <family val="2"/>
      </rPr>
      <t xml:space="preserve"> 
La entidad establece líneas de reporte dentro de la entidad para evaluar el funcionamiento del Sistema de Control Interno.</t>
    </r>
  </si>
  <si>
    <t>5.1 Acorde con la estructura del Esquema de Líneas de Defensa se han definido estándares de reporte, periodicidad y responsables frente a diferentes temas críticos de la entidad.</t>
  </si>
  <si>
    <t>Dimension de Informaciòn y Comunicaciòn
Dimensiòn de Control Interno
Lineas de Defensa</t>
  </si>
  <si>
    <t>Reportes generados en los diferentes areas de la entidad</t>
  </si>
  <si>
    <t>5.2 La Alta Dirección analiza la información asociada con la generación de reportes financieros.</t>
  </si>
  <si>
    <t xml:space="preserve">
Dimensiòn de Control Interno
Linea de Estrategica</t>
  </si>
  <si>
    <t>Flujo de informacion financiera</t>
  </si>
  <si>
    <t>5.3 Teniendo en cuenta la información suministrada por la 2a y 3a línea de defensa se toman decisiones a tiempo para garantizar el cumplimiento de las metas y objetivos.</t>
  </si>
  <si>
    <t>Dimensiòn de Control Interno
Lineas de Defensa</t>
  </si>
  <si>
    <t>5.4 Se evalúa la estructura de control a partir de los cambios en procesos, procedimientos, u otras herramientas, a fin de garantizar su adecuada formulación y afectación frente a la gestión del riesgo.</t>
  </si>
  <si>
    <t>Dimension de Gestion con Valores para Resultado
Politica de Fortalecimiento Organizacional y Simplificaciòn de Procesos
Dimension Control Interno
Lineas de Defensa</t>
  </si>
  <si>
    <t>5.5 La entidad aprueba y hace seguimiento al Plan Anual de Auditoría presentado y ejecutado por parte de la Oficina de Control Interno.</t>
  </si>
  <si>
    <t>Dimension Control Interno
Linea Estrategica</t>
  </si>
  <si>
    <t>5.6 La entidad analiza los informes presentados por la Oficina de Control Interno y evalúa su impacto en relación con la mejora institucional.</t>
  </si>
  <si>
    <t>EVALUACIÓN DE RIESGOS</t>
  </si>
  <si>
    <t xml:space="preserve">Este componente hace referencia al ejercicio efectuado bajo el liderazgo del equipo directivo y de todos los servidores de la entidad, y permite identificar, evaluar y gestionar eventos potenciales, tanto internos como externos, que puedan afectar el logro de los objetivos institucionales.
La condición para la evaluación de riesgos es el establecimiento de objetivos, vinculados a varios niveles de la entidad, lo que implica que la Alta Dirección define objetivos y los agrupa en categorías en todos los niveles de la entidad, con el fin de evaluarlos </t>
  </si>
  <si>
    <r>
      <rPr>
        <b/>
        <u/>
        <sz val="11"/>
        <color theme="0"/>
        <rFont val="Arial Narrow"/>
        <family val="2"/>
      </rPr>
      <t xml:space="preserve">Lineamiento 6: 
</t>
    </r>
    <r>
      <rPr>
        <b/>
        <sz val="11"/>
        <color theme="0"/>
        <rFont val="Arial Narrow"/>
        <family val="2"/>
      </rPr>
      <t xml:space="preserve">Definición de objetivos con suficiente claridad para identificar y evaluar los riesgos relacionados: i)Estratégicos; ii)Operativos; iii)Legales y Presupuestales; iv)De Información Financiera y no Financiera.
</t>
    </r>
  </si>
  <si>
    <r>
      <t xml:space="preserve">Explicación de cómo la Entidad </t>
    </r>
    <r>
      <rPr>
        <b/>
        <u/>
        <sz val="11"/>
        <color theme="0"/>
        <rFont val="Arial Narrow"/>
        <family val="2"/>
      </rPr>
      <t xml:space="preserve">evidencia </t>
    </r>
    <r>
      <rPr>
        <b/>
        <sz val="11"/>
        <color theme="0"/>
        <rFont val="Arial Narrow"/>
        <family val="2"/>
      </rPr>
      <t xml:space="preserve">que está dando respuesta al requerimiento
</t>
    </r>
    <r>
      <rPr>
        <sz val="11"/>
        <color theme="0"/>
        <rFont val="Arial Narrow"/>
        <family val="2"/>
      </rPr>
      <t>Referencia a Procesos, Manuales/Políticas de Operación/Procedimientos/Instructivos u otros desarrollos que den cuente de su aplicación</t>
    </r>
  </si>
  <si>
    <r>
      <t xml:space="preserve">Presente
</t>
    </r>
    <r>
      <rPr>
        <i/>
        <sz val="11"/>
        <color theme="0"/>
        <rFont val="Arial Narrow"/>
        <family val="2"/>
      </rPr>
      <t>(1/2/3)</t>
    </r>
  </si>
  <si>
    <r>
      <t xml:space="preserve">Funcionando
</t>
    </r>
    <r>
      <rPr>
        <i/>
        <sz val="11"/>
        <color theme="0"/>
        <rFont val="Arial Narrow"/>
        <family val="2"/>
      </rPr>
      <t>(1/2/3)</t>
    </r>
  </si>
  <si>
    <t>6.1  La Entidad cuenta con mecanismos para vincular o relacionar el plan estratégico con los objetivos estratégicos y estos a su vez con los objetivos operativos.</t>
  </si>
  <si>
    <t>Dimension de Direccionamiento Estratetegico y Planeacion.
Politica de Planeacion Institucional</t>
  </si>
  <si>
    <t>En plan estrategico definido por SAPIENCIA, es un documento en donde se detallan los objetivos estrategicos y operativos</t>
  </si>
  <si>
    <t>6.2 Los objetivos de los procesos, programas o proyectos (según aplique) que están definidos, son específicos, medibles, alcanzables, relevantes, delimitados en el tiempo.</t>
  </si>
  <si>
    <t>Dimension de Gestion con Valores para Resultado
Politica de Fortalecimiento Organizacional y Simplificaciòn de Procesos</t>
  </si>
  <si>
    <t>6.3 La Alta Dirección evalúa periódicamente los objetivos establecidos para asegurar que estos continúan siendo consistentes y apropiados para la Entidad.</t>
  </si>
  <si>
    <t>Dimension de Direccionamiento Estratetegico y Planeacion.
Politica de Planeacion Institucional
Dimension Control Interno
Linea Estrategica</t>
  </si>
  <si>
    <r>
      <rPr>
        <b/>
        <u/>
        <sz val="11"/>
        <color theme="0"/>
        <rFont val="Arial Narrow"/>
        <family val="2"/>
      </rPr>
      <t xml:space="preserve">Lineamiento 7: 
</t>
    </r>
    <r>
      <rPr>
        <b/>
        <sz val="11"/>
        <color theme="0"/>
        <rFont val="Arial Narrow"/>
        <family val="2"/>
      </rPr>
      <t xml:space="preserve">Identificación y análisis de riesgos (Analiza factores internos y externos; Implica a los niveles apropiados de la dirección; Determina cómo responder a los riesgos; Determina la importancia de los riesgos). 
</t>
    </r>
  </si>
  <si>
    <t>7.1 Teniendo en cuenta la estructura de la política de Administración del Riesgo, su alcance define lineamientos para toda la entidad, incluyendo regionales, áreas tercerizadas u otras instancias que afectan la prestación del servicio.</t>
  </si>
  <si>
    <t>En la entidad la Administracion del Riesgo se centra en todos los Procesos y/o procedimientos de manera general.</t>
  </si>
  <si>
    <t>7.2 La Oficina de Planeación, Gerencia de Riesgos (donde existan), como 2a línea de defensa, consolidan información clave frente a la gestión del riesgo.</t>
  </si>
  <si>
    <t>Dimension Control Interno 
Lineas de Defensa</t>
  </si>
  <si>
    <t>7.3 A partir de la información consolidada y reportada por la 2a línea de defensa (7.2), la Alta Dirección analiza sus resultados y en especial considera si se han presentado materializaciones de riesgo.</t>
  </si>
  <si>
    <t>7.4 Cuando se detectan materializaciones de riesgo, se definen los cursos de acción en relación con la revisión y actualización del mapa de riesgos correspondiente.</t>
  </si>
  <si>
    <t>Dimension de Direccionamiento Estratetegico y Planeacion.
Politica de Planeacion Institucional
Dimension Control Interno 
Lineas de Defensa</t>
  </si>
  <si>
    <t>7.5 Se llevan a cabo seguimientos a las acciones definidas para resolver materializaciones de riesgo detectadas.</t>
  </si>
  <si>
    <t>Dimension de Evaluacion de Resultados 
Politica de Seguimiento y evaluacion al Desempeño Institucional.
Dimension Control Interno 
Lineas de Defensa</t>
  </si>
  <si>
    <r>
      <rPr>
        <b/>
        <u/>
        <sz val="11"/>
        <color theme="0"/>
        <rFont val="Arial Narrow"/>
        <family val="2"/>
      </rPr>
      <t xml:space="preserve">Lineamiento 8: 
</t>
    </r>
    <r>
      <rPr>
        <b/>
        <sz val="11"/>
        <color theme="0"/>
        <rFont val="Arial Narrow"/>
        <family val="2"/>
      </rPr>
      <t xml:space="preserve">Evaluación del riesgo de fraude o corrupción. 
Cumplimiento artículo 73 de la Ley 1474 de 2011, relacionado con la prevención de los riesgos de corrupción.
</t>
    </r>
  </si>
  <si>
    <t>8.1 La Alta Dirección acorde con el análisis del entorno interno y externo, define los procesos, programas o proyectos (según aplique), susceptibles de posibles actos de corrupción.</t>
  </si>
  <si>
    <t>Codigo de Integridad y Buen Gobierno</t>
  </si>
  <si>
    <t>8.2 La Alta Dirección monitorea los riesgos de corrupción con la periodicidad establecida en la Política de Administración del Riesgo.</t>
  </si>
  <si>
    <t>Dimension de Control Interno
Linea Estrategica</t>
  </si>
  <si>
    <t>8.3 Para el desarrollo de las actividades de control, la entidad considera la adecuada división de las funciones y que éstas se encuentren segregadas en diferentes personas para reducir el riesgo de acciones fraudulentas.</t>
  </si>
  <si>
    <t>Dimension de Contro Interno
Lineas de Defensa</t>
  </si>
  <si>
    <t>Organigrama</t>
  </si>
  <si>
    <t>Plan Estrategico Talento Humano</t>
  </si>
  <si>
    <t>8.4 La Alta Dirección evalúa fallas en los controles (diseño y ejecución) para definir cursos de acción apropiados para su mejora.</t>
  </si>
  <si>
    <r>
      <rPr>
        <b/>
        <u/>
        <sz val="11"/>
        <color theme="0"/>
        <rFont val="Arial Narrow"/>
        <family val="2"/>
      </rPr>
      <t xml:space="preserve">
Lineamiento 9:</t>
    </r>
    <r>
      <rPr>
        <b/>
        <sz val="11"/>
        <color theme="0"/>
        <rFont val="Arial Narrow"/>
        <family val="2"/>
      </rPr>
      <t xml:space="preserve"> </t>
    </r>
    <r>
      <rPr>
        <sz val="11"/>
        <color theme="0"/>
        <rFont val="Arial Narrow"/>
        <family val="2"/>
      </rPr>
      <t xml:space="preserve">Identificación y análisis de cambios significativos </t>
    </r>
  </si>
  <si>
    <t>9.1 Acorde con lo establecido en la política de Administración del Riesgo, se monitorean los factores internos y externos definidos para la entidad, a fin de establecer cambios en el entorno que determinen nuevos riesgos o ajustes a los existentes.</t>
  </si>
  <si>
    <t>Dimension de Direccionamiento Estrategico 
Politica de Planeacion Institucional</t>
  </si>
  <si>
    <t>9.2 La Alta Dirección analiza los riesgos asociados a actividades tercerizadas, regionales u otras figuras externas que afecten la prestación del servicio a los usuarios, basados en los informes de la segunda y tercera linea de defensa.</t>
  </si>
  <si>
    <t>Dimension de Control Interno
Lineas de Defensa</t>
  </si>
  <si>
    <t>9.3 La Alta Dirección monitorea los riesgos aceptados revisando que sus condiciones no hayan cambiado y definir su pertinencia para sostenerlos o ajustarlos.</t>
  </si>
  <si>
    <t>9.4 La Alta Dirección evalúa fallas en los controles (diseño y ejecución) para definir cursos de acción apropiados para su mejora, basados en los informes de la segunda y tercera linea de defensa.</t>
  </si>
  <si>
    <t>Informes de Gestion</t>
  </si>
  <si>
    <t>9.5 La entidad analiza el impacto sobre el control interno por cambios en los diferentes niveles organizacionales.</t>
  </si>
  <si>
    <t>Dimension de Direccionamiento Estrategico y Planeacion
Politica de Planeacion Institucional
Dimension de Control Interno
Linea Estrategica</t>
  </si>
  <si>
    <t>ACTIVIDADES DE CONTROL</t>
  </si>
  <si>
    <t>La entidad define y desarrolla actividades de control que contribuyen a la mitigación de los riesgos hasta niveles aceptables para la consecución de los objetivos estratégicos y de proceso. 
Implementa políticas de operación mediante procedimientos u otros mecanismos que den cuenta de su aplicación en el día a día de las operaciones.</t>
  </si>
  <si>
    <r>
      <rPr>
        <b/>
        <u/>
        <sz val="11"/>
        <color theme="0"/>
        <rFont val="Arial Narrow"/>
        <family val="2"/>
      </rPr>
      <t xml:space="preserve">
Lineamiento 10: 
</t>
    </r>
    <r>
      <rPr>
        <b/>
        <sz val="11"/>
        <color theme="0"/>
        <rFont val="Arial Narrow"/>
        <family val="2"/>
      </rPr>
      <t>Diseño y desarrollo de actividades de control (Integra el desarrollo de controles con la evaluación de riesgos; tiene en cuenta a qué nivel se aplican las actividades; facilita la segregación de funciones).</t>
    </r>
  </si>
  <si>
    <r>
      <t>Explicación de cómo la Entidad</t>
    </r>
    <r>
      <rPr>
        <b/>
        <u/>
        <sz val="11"/>
        <color theme="0"/>
        <rFont val="Arial Narrow"/>
        <family val="2"/>
      </rPr>
      <t xml:space="preserve"> evidencia </t>
    </r>
    <r>
      <rPr>
        <b/>
        <sz val="11"/>
        <color theme="0"/>
        <rFont val="Arial Narrow"/>
        <family val="2"/>
      </rPr>
      <t xml:space="preserve">que está dando respuesta al requerimiento
</t>
    </r>
    <r>
      <rPr>
        <sz val="11"/>
        <color theme="0"/>
        <rFont val="Arial Narrow"/>
        <family val="2"/>
      </rPr>
      <t>Referencia a Procesos, Manuales/Políticas de Operación/Procedimientos/Instructivos u otros desarrollos que den cuente de su aplicación</t>
    </r>
  </si>
  <si>
    <r>
      <t>Funcionando</t>
    </r>
    <r>
      <rPr>
        <i/>
        <sz val="11"/>
        <color theme="0"/>
        <rFont val="Arial Narrow"/>
        <family val="2"/>
      </rPr>
      <t xml:space="preserve">
(1/2/3)</t>
    </r>
  </si>
  <si>
    <t>10.1 Para el desarrollo de las actividades de control, la entidad considera la adecuada división de las funciones y que éstas se encuentren segregadas en diferentes personas para reducir el riesgo de error o de incumplimientos de alto impacto en la operación.</t>
  </si>
  <si>
    <t>Plan de Accion Institucional</t>
  </si>
  <si>
    <t xml:space="preserve">10.2 Se han idenfificado y documentado las situaciones específicas en donde no es posible segregar adecuadamente las funciones (ej: falta de personal, presupuesto), con el fin de definir actividades de control alternativas para cubrir los riesgos identificados. </t>
  </si>
  <si>
    <t>Informes de Auditoria interna</t>
  </si>
  <si>
    <t>Seguimientos y evaluaciones internas</t>
  </si>
  <si>
    <t>10.3 El diseño de otros  sistemas de gestión (bajo normas o estándares internacionales como la ISO), se intregan de forma adecuada a la estructura de control de la entidad.</t>
  </si>
  <si>
    <t xml:space="preserve">
Dimension de Gestion con Valores para Resultados
Dimension de Control Interno
Lineas de Defensa</t>
  </si>
  <si>
    <r>
      <rPr>
        <b/>
        <u/>
        <sz val="11"/>
        <color theme="0"/>
        <rFont val="Arial Narrow"/>
        <family val="2"/>
      </rPr>
      <t xml:space="preserve">Lineamiento 11: 
</t>
    </r>
    <r>
      <rPr>
        <b/>
        <sz val="11"/>
        <color theme="0"/>
        <rFont val="Arial Narrow"/>
        <family val="2"/>
      </rPr>
      <t>Seleccionar y Desarrolla controles generales sobre TI para apoyar la consecución de los objetivos .</t>
    </r>
  </si>
  <si>
    <t>11.1 La entidad establece actividades de control relevantes sobre las infraestructuras tecnológicas; los procesos de gestión de la seguridad y sobre los procesos de adquisición, desarrollo y mantenimiento de tecnologías.</t>
  </si>
  <si>
    <t xml:space="preserve">Dimension de Gestion con Valores para el Resultado
Politica de Gobierno Digital 
Politica de Seguridad Digital
</t>
  </si>
  <si>
    <t>11.2  Para los proveedores de tecnología  selecciona y desarrolla actividades de control internas sobre las actividades realizadas por el proveedor de servicios.</t>
  </si>
  <si>
    <t xml:space="preserve">11.3 Se cuenta con matrices de roles y usuarios siguiendo los principios de segregación de funciones.
</t>
  </si>
  <si>
    <t xml:space="preserve">Dimension de Gestion con Valores para el Resultado
Politica de Fortalecimiento Organizacional y Simplificacion de Procesos.
</t>
  </si>
  <si>
    <t xml:space="preserve">11.4 Se cuenta con información de la 3a línea de defensa, como evaluador independiente en relación con los controles implementados por el proveedor de servicios, para  asegurar que los riesgos relacionados se mitigan.
</t>
  </si>
  <si>
    <t>Dimension Control Interno
Tercera Linea de Defensa</t>
  </si>
  <si>
    <r>
      <rPr>
        <b/>
        <u/>
        <sz val="11"/>
        <color theme="0"/>
        <rFont val="Arial Narrow"/>
        <family val="2"/>
      </rPr>
      <t xml:space="preserve">Lineamiento 12: 
</t>
    </r>
    <r>
      <rPr>
        <b/>
        <sz val="11"/>
        <color theme="0"/>
        <rFont val="Arial Narrow"/>
        <family val="2"/>
      </rPr>
      <t>Despliegue de políticas y procedimientos (Establece responsabilidades sobre la ejecución de las políticas y procedimientos; Adopta medidas correctivas; Revisa las políticas y procedimientos).</t>
    </r>
  </si>
  <si>
    <t xml:space="preserve">12.1 Se evalúa la actualización de procesos, procedimientos, políticas de operación, instructivos, manuales u otras herramientas para garantizar la aplicación adecuada de las principales actividades de control.
</t>
  </si>
  <si>
    <t>Dimension de Gestion con Valores para el Resultado
Politica de Fortalecimiento Organizacional y Simplificacion de Procesos.</t>
  </si>
  <si>
    <t>En la entidad se llevan a cabo Informes de Seguimiento y Auditorias Internas que permiten evaluar los procesos a traves de los procedimientos, politicas, manuales, etc. Y determinar se las actividades de control son efectivas</t>
  </si>
  <si>
    <t>12.2  El diseño de controles se evalúa frente a la gestión del riesgo.</t>
  </si>
  <si>
    <t xml:space="preserve">Todas las Dimensiones de MIPG 
</t>
  </si>
  <si>
    <t xml:space="preserve">12.3  Monitoreo a los riesgos acorde con la política de administración de riesgo establecida para la entidad.
</t>
  </si>
  <si>
    <t>Dimension de Direccionamiento Estrategico y Planeacion
Politica de Planeacion Institucional.</t>
  </si>
  <si>
    <t>12.4 Verificación de que los responsables estén ejecutando los controles tal como han sido diseñados.</t>
  </si>
  <si>
    <t>Dimension Control Interno
Segunda Linea de Defensa</t>
  </si>
  <si>
    <t>Los responsables de los procesos y la ejecucion de los controles estan definidos y se verifica periodicamante la ejecucion de los mismos</t>
  </si>
  <si>
    <t>12.5  Se evalúa la adecuación de los controles a las especificidades de cada proceso, considerando cambios en regulaciones, estructuras internas u otros aspectos que determinen cambios en su diseño.</t>
  </si>
  <si>
    <t>Dimension Control Interno
 Lineas de Defensa</t>
  </si>
  <si>
    <t>INFORMACIÓN Y COMUNICACIÓN</t>
  </si>
  <si>
    <t>Este componente verifica que las políticas, directrices y mecanismos de consecución, captura, procesamiento y generación de datos dentro y en el entorno de cada entidad, satisfagan la necesidad de divulgar los resultados, de mostrar mejoras en la gestión administrativa y procurar que la información y la comunicación de la entidad y de cada proceso sea adecuada a las necesidades específicas de los grupos de valor y grupos de interés. 
Se requiere que todos los servidores de la entidad reciban un claro mensaje de la Alta Dirección sobre las responsabilidades de control. Deben comprender su función frente al Sistema de Control Interno.</t>
  </si>
  <si>
    <r>
      <t xml:space="preserve">
Lineamiento 13: 
</t>
    </r>
    <r>
      <rPr>
        <b/>
        <sz val="11"/>
        <color theme="0"/>
        <rFont val="Arial Narrow"/>
        <family val="2"/>
      </rPr>
      <t>Utilización de información relevante (Identifica requisitos de información; Capta fuentes de datos internas y externas; Procesa datos relevantes y los transforma en información).</t>
    </r>
  </si>
  <si>
    <t>13.1 La entidad ha diseñado sistemas de información para capturar y procesar datos y transformarlos en información para alcanzar los requerimientos de información definidos.</t>
  </si>
  <si>
    <t xml:space="preserve">Dimension de Informacion y comunicación 
</t>
  </si>
  <si>
    <t>13.2  La entidad cuenta con el inventario de información relevante (interno/externa) y cuenta con un mecanismo que permita su actualización.</t>
  </si>
  <si>
    <t>Dimension de Informacion y comunicación 
Politica de Transparencia y Acceso a la Informaciòn Publica</t>
  </si>
  <si>
    <t>Politica de Gestion Documental</t>
  </si>
  <si>
    <t>13.3 La entidad considera un ámbito amplio de fuentes de datos (internas y externas), para la captura y procesamiento posterior de información clave para la consecución de metas y objetivos.</t>
  </si>
  <si>
    <t>Encuesta de Satisfaccion</t>
  </si>
  <si>
    <t>Informes Auditoria - Contraloria</t>
  </si>
  <si>
    <t>Informes de Seguimientos a los diferentes procesos de la entidad</t>
  </si>
  <si>
    <t>13.4 La entidad ha desarrollado e implementado actividades de control sobre la integridad, confidencialidad y disponibilidad de los datos e información definidos como relevantes.</t>
  </si>
  <si>
    <r>
      <t xml:space="preserve">
Lineamiento 14: 
</t>
    </r>
    <r>
      <rPr>
        <b/>
        <sz val="11"/>
        <color theme="0"/>
        <rFont val="Arial Narrow"/>
        <family val="2"/>
      </rPr>
      <t>Comunicación Interna (Se comunica con el Comité Institucional de Coordinación de Control Interno o su equivalente; Facilita líneas de comunicación en todos los niveles; Selecciona el método de comunicación pertinente).</t>
    </r>
  </si>
  <si>
    <t>14.1 Para la comunicación interna la Alta Dirección tiene mecanismos que permitan dar a conocer los objetivos y metas estratégicas, de manera tal que todo el personal entiende su papel en su consecución. (Considera los canales más apropiados y evalúa su efectividad).</t>
  </si>
  <si>
    <t xml:space="preserve">Dimension de Informacion y comunicación
</t>
  </si>
  <si>
    <t>14.2 La entidad cuenta con políticas de operación relacionadas con la administración de la información (niveles de autoridad y responsabilidad)</t>
  </si>
  <si>
    <t>La entidad cuenta con lineamientos internos que facilitan la administracion de la informacion.</t>
  </si>
  <si>
    <t>14.3 La entidad cuenta con canales de información internos para la denuncia anónima o confidencial de posibles situaciones irregulares y se cuenta con mecanismos específicos para su manejo, de manera tal que generen la confianza para utilizarlos.</t>
  </si>
  <si>
    <t>La entidad cuenta con un canal oficial para las denuncias, internas o externas, las cuales pueden ser anonimas,  se siguen los protocolos para asegurar la confidencialidad a traves tanto del módulo de PQRSDF (existe la posiblidad de hacer presentar de forma anonima una queja o denuncia) como del sistema mercurio.</t>
  </si>
  <si>
    <t>14.4 La entidad establece e implementa políticas y procedimientos para facilitar una comunicación interna efectiva.</t>
  </si>
  <si>
    <r>
      <t xml:space="preserve">
Lineamiento 15: 
</t>
    </r>
    <r>
      <rPr>
        <b/>
        <sz val="11"/>
        <color theme="0"/>
        <rFont val="Arial Narrow"/>
        <family val="2"/>
      </rPr>
      <t>Comunicación con el exterior (Se comunica con los grupos de valor y con terceros externos interesados; Facilita líneas de comunicación).</t>
    </r>
  </si>
  <si>
    <t xml:space="preserve">15.1 La entidad desarrolla e implementa controles que facilitan la comunicación externa, la cual incluye  políticas y procedimientos. 
Incluye contratistas y proveedores de servicios tercerizados (cuando aplique). </t>
  </si>
  <si>
    <t xml:space="preserve">
Dimension de Informacion y Comunicación
Dimension de Control Interno
Primera Linea de Defensa</t>
  </si>
  <si>
    <t>Reglamento PQRSDF</t>
  </si>
  <si>
    <t>Canales de Atencion al Ciudadano</t>
  </si>
  <si>
    <t xml:space="preserve">15.2 La entidad cuenta con canales externos definidos de comunicación, asociados con el tipo de información a divulgar, y éstos son reconocidos a todo nivel de la organización.
</t>
  </si>
  <si>
    <t xml:space="preserve">Dimension de Informacion y Comunicación
Politica de Transparencia, acceso a la información pública y lucha
contra la corrupción </t>
  </si>
  <si>
    <t>Manual de Atencion al Ciudadano</t>
  </si>
  <si>
    <t>15.3 La entidad cuenta con procesos o procedimiento para el manejo de la información entrante (quién la recibe, quién la clasifica, quién la analiza), y a la respuesta requierida (quién la canaliza y la responde).</t>
  </si>
  <si>
    <t xml:space="preserve">Dimension de Informacion y Comunicación
Politica de Gestion Documental
Politica de Transparencia, acceso a la información pública y lucha
contra la corrupción </t>
  </si>
  <si>
    <t xml:space="preserve">15.4 La entidad cuenta con procesos o procedimientos encaminados a evaluar periodicamente la efectividad de los canales de comunicación con partes externas, así como sus contenidos, de tal forma que se puedan mejorar.
</t>
  </si>
  <si>
    <t>Dimension de Informacion y Comunicación
Politica deControl Interno
Lineas de Defensa</t>
  </si>
  <si>
    <t>15.5 La entidad analiza periodicamente su caracterización de usuarios o grupos de valor, a fin de actualizarla cuando sea pertinente.</t>
  </si>
  <si>
    <t>Dimension de Direccionamiento Estrategico y Planeaciòn
Politica de Planeacion Institucional</t>
  </si>
  <si>
    <t>15.6 La entidad analiza periodicamente los resultados frente a la evaluación de percepción por parte de los usuarios o grupos de valor para la incorporación de las mejoras correspondientes.</t>
  </si>
  <si>
    <t>Encuestas de satisfaccion periodicas.</t>
  </si>
  <si>
    <t>ACTIVIDADES DE MONITOREO</t>
  </si>
  <si>
    <t>Este componente considera actividades en el día a día de la gestión institucional, así como a través de evaluaciones periódicas (autoevaluación, auditorías). Su propósito es valorar: (i) la efectividad del control interno de la entidad pública; (ii) la eficiencia, eficacia y efectividad de los procesos; (iii) el nivel de ejecución de los planes, programas y proyectos; (iv) los resultados de la gestión, con el propósito de detectar desviaciones, establecer tendencias, y generar recomendaciones para orientar las acciones de mejoramiento de la entidad pública.</t>
  </si>
  <si>
    <r>
      <rPr>
        <b/>
        <u/>
        <sz val="11"/>
        <color theme="0"/>
        <rFont val="Arial Narrow"/>
        <family val="2"/>
      </rPr>
      <t xml:space="preserve">Lineamiento 16. </t>
    </r>
    <r>
      <rPr>
        <sz val="11"/>
        <color theme="0"/>
        <rFont val="Arial Narrow"/>
        <family val="2"/>
      </rPr>
      <t xml:space="preserve"> Evaluaciones continuas y/o separadas (autoevaluación, auditorías) para determinar si los componentes del Sistema de Control Interno están presentes y funcionando.
</t>
    </r>
  </si>
  <si>
    <t>Observaciones de la evaluacion independiente (tener encuenta papel de  líneas de defensa) 
*Nota: Unicamente diligenciar las observaciones que van vinculadas al desarrollo de actividades de las demas lineas de defensa</t>
  </si>
  <si>
    <t>16.1 El comité Institucional de Coordinación de Control Interno aprueba anualmente el Plan Anual de Auditoría presentado por parte del Jefe de Control Interno o quien haga sus veces y hace el correspondiente seguimiento a sus ejecución?</t>
  </si>
  <si>
    <t>Dimension de Control Interno
Lineas Estrategica</t>
  </si>
  <si>
    <t>Resolución 6914 de 2017 "Por el medio del cual se reglamenta el Comité de Coordinacion del Sistema de Control Interno de la Agencia de Educacion Superior de Medellín"</t>
  </si>
  <si>
    <t>16.2  La Alta Dirección periódicamente evalúa los resultados de las evaluaciones (contínuas e independientes)  para concluir acerca de la efectividad del Sistema de Control Interno</t>
  </si>
  <si>
    <t>Actas comité de Coordinación de Control Interno</t>
  </si>
  <si>
    <t>16.3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t>
  </si>
  <si>
    <t>Dimension de Control Interno
Tercera Linea de Defensa</t>
  </si>
  <si>
    <t>16.4 Acorde con el Esquema de Líneas de Defensa se han implementado procedimientos de monitoreo continuo como parte de las actividades de la 2a línea de defensa, a fin de contar con información clave para la toma de decisiones.</t>
  </si>
  <si>
    <t>Dimension de Control Interno
Segunda Linea de Defensa</t>
  </si>
  <si>
    <t>16.5 Frente a las evaluaciones independientes la entidad considera evaluaciones externas de organismos de control, de vigilancia, certificadores, ONG´s u otros que permitan tener una mirada independiente de las operaciones.</t>
  </si>
  <si>
    <r>
      <rPr>
        <b/>
        <u/>
        <sz val="11"/>
        <color theme="0"/>
        <rFont val="Arial Narrow"/>
        <family val="2"/>
      </rPr>
      <t xml:space="preserve">Lineamiento 17. </t>
    </r>
    <r>
      <rPr>
        <sz val="11"/>
        <color theme="0"/>
        <rFont val="Arial Narrow"/>
        <family val="2"/>
      </rPr>
      <t xml:space="preserve"> 
Evaluación y comunicación de deficiencias oportunamente (Evalúa los resultados, Comunica las deficiencias y Monitorea las medidas correctivas).
</t>
    </r>
  </si>
  <si>
    <t>17.1 A partir de la información de las evaluaciones independientes, se evalúan para determinar su efecto en el Sistema de Control Interno de la entidad y su impacto en el logro de los objetivos, a fin de determinar cursos de acción para su mejora.</t>
  </si>
  <si>
    <t>17.2 Los informes recibidos de entes externos (organismos de control, auditores externos, entidades de vigilancia entre otros) se consolidan y se concluye sobre el impacto en el Sistema de Control Interno, a fin de determinar los cursos de acción.</t>
  </si>
  <si>
    <t>17.3 La entidad cuenta con políticas donde se establezca a quién reportar las deficiencias de control interno como resultado del monitoreo continuo.</t>
  </si>
  <si>
    <t>Reuniones periodicas Comité de Coordinacion de Control Interno</t>
  </si>
  <si>
    <t>17.4 La Alta Dirección hace seguimiento a las acciones correctivas relacionadas con las deficiencias comunicadas sobre el Sistema de Control Interno y si se han cumplido en el tiempo establecido.</t>
  </si>
  <si>
    <t>17.5 Los procesos y/o servicios tercerizados, son evaluados acorde con su nivel de riesgos.</t>
  </si>
  <si>
    <t>17.6 Se evalúa la información suministrada por los usuarios (Sistema PQRD), así como de otras partes interesadas para la mejora del  Sistema de Control Interno de la Entidad?</t>
  </si>
  <si>
    <t xml:space="preserve">
Dimension de Informacion y Comunicación 
Dimension de Control Interno
Lineas de Defensa</t>
  </si>
  <si>
    <t xml:space="preserve">17.7 Verificación del avance y cumplimiento de las acciones incluidas en los planes de mejoramiento producto de las autoevaluaciones. (2ª Línea).
</t>
  </si>
  <si>
    <t xml:space="preserve">
Dimension de Control Interno
Lineas de Defensa</t>
  </si>
  <si>
    <t>17.8 Evaluación de la efectividad de las acciones incluidas en los Planes de mejoramiento producto de las auditorías internas y de entes externos. (3ª Línea)</t>
  </si>
  <si>
    <t>17.9 Las deficiencias de control interno son reportadas a los responsables de nivel jerárquico superior, para tomar la acciones correspondientes?</t>
  </si>
  <si>
    <t>ANÁLISIS DE RESULTADOS PARA LA TOMA DE DECISIONES</t>
  </si>
  <si>
    <t xml:space="preserve">Se encuentra presente  y funcionando, pero requiere mejoras frente a su diseño, ya que  opera de manera efectiva
</t>
  </si>
  <si>
    <t>Se encuentra presente  y funcionando, pero requiere mejoras frente a su diseño, ya que  opera de manera efectiva</t>
  </si>
  <si>
    <t>Cuando en el análisis de los requerimientos en los diferentes componentes del MECI se cuente con aspectos evaluados en nivel 2 (presente) y 2 (funcionando); 3 (presente) y 1 (funcionando); 3 (presente) y 2 (funcionando);2 (presente) y 1 (funcionando)</t>
  </si>
  <si>
    <t>Cuando en el análisis de los requerimientos en los diferentes componentes del MECI se cuente con aspectos evaluados en nivel 1 (presente) y 1 (funcionando); ;1 (presente) y 2 (funcionando); 1(presente) y 3 (funcionando).</t>
  </si>
  <si>
    <t>Registro de deficiencias</t>
  </si>
  <si>
    <t>RESULTADOS</t>
  </si>
  <si>
    <t>FUENTE DEL ANALISIS</t>
  </si>
  <si>
    <t>CONTROL PRESENTE</t>
  </si>
  <si>
    <t>CONTROL FUNCIONANDO</t>
  </si>
  <si>
    <t>OBSERVACIONES DEL CONTROL</t>
  </si>
  <si>
    <t>NIVEL DE CUMPLIMIENTO-ASPECTOS PARTICULARES POR COMPONENTE</t>
  </si>
  <si>
    <t>NIVEL DE CUMPLIMIENTO- DEL COMPONENTE</t>
  </si>
  <si>
    <t>RECOMENDACIONES DESDE LA MIRADA DE EVALUACION INDEPENDIENTE</t>
  </si>
  <si>
    <t>PLANES DE MEJORAMIENTO (Donde aplique)</t>
  </si>
  <si>
    <t>Id. Requerimiento</t>
  </si>
  <si>
    <t>Descripción del Lineamiento</t>
  </si>
  <si>
    <t>Pregunta Indicativa</t>
  </si>
  <si>
    <t>Accion(es) de Mejora</t>
  </si>
  <si>
    <t>Fecha de Inicio</t>
  </si>
  <si>
    <t>Fecha Terminacion</t>
  </si>
  <si>
    <t>Responsable</t>
  </si>
  <si>
    <t>Seguimiento</t>
  </si>
  <si>
    <t>% de avance</t>
  </si>
  <si>
    <t>Nombre de la Entidad:</t>
  </si>
  <si>
    <t>AGENCIA DE EDUCACION POSTSECUNDARIA DE MEDELLIN - SAPIENCIA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</si>
  <si>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</si>
  <si>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</si>
  <si>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</si>
  <si>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</si>
  <si>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</si>
  <si>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</si>
  <si>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</si>
  <si>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¿El componente está presente y funcionando?</t>
  </si>
  <si>
    <t>Nivel de Cumplimiento componente</t>
  </si>
  <si>
    <r>
      <rPr>
        <b/>
        <u/>
        <sz val="16"/>
        <color theme="0"/>
        <rFont val="Arial"/>
        <family val="2"/>
      </rPr>
      <t xml:space="preserve"> Estado actual:</t>
    </r>
    <r>
      <rPr>
        <b/>
        <sz val="16"/>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</si>
  <si>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</si>
  <si>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</si>
  <si>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</si>
  <si>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Evaluación de riesgos</t>
  </si>
  <si>
    <t>Actividades de control</t>
  </si>
  <si>
    <t>Información y comunicación</t>
  </si>
  <si>
    <t xml:space="preserve">Monitoreo </t>
  </si>
  <si>
    <t xml:space="preserve">
Lineamiento </t>
  </si>
  <si>
    <t xml:space="preserve">Pregunta </t>
  </si>
  <si>
    <t xml:space="preserve">Componente </t>
  </si>
  <si>
    <t>Dimensión o política del mipg asociada al requerimiento</t>
  </si>
  <si>
    <t>Puntaje</t>
  </si>
  <si>
    <t>Orden</t>
  </si>
  <si>
    <t xml:space="preserve">Descripción del lineamiento </t>
  </si>
  <si>
    <t xml:space="preserve">Funcionando </t>
  </si>
  <si>
    <t>Nivel de cumplimiento - aspectos particulares por componente</t>
  </si>
  <si>
    <t>1.1</t>
  </si>
  <si>
    <t>Ambiente de Control</t>
  </si>
  <si>
    <t>La entidad demuestra el compromiso con la integridad (valores) y principios del servicio público</t>
  </si>
  <si>
    <t>Cuando en el análisis de los requerimientos en los diferenes componentes del MECI se cuente con aspectos evaluados en nivel 2 (presente) y 3 (funcionando).</t>
  </si>
  <si>
    <t>1.2</t>
  </si>
  <si>
    <t>Cuando en el análisis de los requerimientos en los diferenes componentes del MECI se cuente con aspectos evaluados en nivel 2 (presente) y 2 (funcionando); 3 (presente) y 1 (funcionando); 3 (presente) y 2 (funcionando).</t>
  </si>
  <si>
    <t>Deficiencia de control mayor</t>
  </si>
  <si>
    <t>1.3</t>
  </si>
  <si>
    <t>Cuando en el análisis de los requerimientos en los diferenes componentes del MECI se cuente con aspectos evaluados en nivel 1 (presente) y 1 (funcionando); 2 (presente) y 1 (funcionando).</t>
  </si>
  <si>
    <t>1.4</t>
  </si>
  <si>
    <t>1.5</t>
  </si>
  <si>
    <t>2.1</t>
  </si>
  <si>
    <t xml:space="preserve">Aplicación de mecanismos para ejercer una adecuada supervisión del Sistema de Control Interno </t>
  </si>
  <si>
    <t>2.2</t>
  </si>
  <si>
    <t>2.3</t>
  </si>
  <si>
    <t>3.1</t>
  </si>
  <si>
    <t>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</si>
  <si>
    <t>3.3</t>
  </si>
  <si>
    <t>3.2</t>
  </si>
  <si>
    <t>4.1</t>
  </si>
  <si>
    <t>Compromiso con la competencia de todo el personal, por lo que la gestión del talento humano tiene un carácter estratégico con el despliegue de actividades clave para todo el ciclo de vida del servidor público –ingreso, permanencia y retiro.</t>
  </si>
  <si>
    <t>4.2</t>
  </si>
  <si>
    <t>4.3</t>
  </si>
  <si>
    <t>4.4</t>
  </si>
  <si>
    <t>4.5</t>
  </si>
  <si>
    <t>4.6</t>
  </si>
  <si>
    <t>4.7</t>
  </si>
  <si>
    <t>5.1</t>
  </si>
  <si>
    <t>La entidad establece líneas de reporte dentro de la entidad para evaluar el funcionamiento del Sistema de Control Interno.</t>
  </si>
  <si>
    <t>5.2</t>
  </si>
  <si>
    <t>5.3</t>
  </si>
  <si>
    <t>5.4</t>
  </si>
  <si>
    <t>5.5</t>
  </si>
  <si>
    <t>5.6</t>
  </si>
  <si>
    <t>6.1</t>
  </si>
  <si>
    <t xml:space="preserve">Definición de objetivos con suficiente claridad para identificar y evaluar los riesgos relacionados: i)Estratégicos; ii)Operativos; iii)Legales y Presupuestales; iv)De Información Financiera y no Financiera.
</t>
  </si>
  <si>
    <t>6.2</t>
  </si>
  <si>
    <t>6.3</t>
  </si>
  <si>
    <t>7.1</t>
  </si>
  <si>
    <t xml:space="preserve">Identificación y análisis de riesgos (Analiza factores internos y externos; Implica a los niveles apropiados de la dirección; Determina cómo responder a los riesgos; Determina la importancia de los riesgos). </t>
  </si>
  <si>
    <t>7.2</t>
  </si>
  <si>
    <t>7.3</t>
  </si>
  <si>
    <t>7.4</t>
  </si>
  <si>
    <t>7.5</t>
  </si>
  <si>
    <t>8.1</t>
  </si>
  <si>
    <t xml:space="preserve">Evaluación del riesgo de fraude o corrupción. 
Cumplimiento artículo 73 de la Ley 1474 de 2011, relacionado con la prevención de los riesgos de corrupción.
</t>
  </si>
  <si>
    <t>8.2</t>
  </si>
  <si>
    <t>8.3</t>
  </si>
  <si>
    <t>8.4</t>
  </si>
  <si>
    <t>9.1</t>
  </si>
  <si>
    <t xml:space="preserve">Identificación y análisis de cambios significativos </t>
  </si>
  <si>
    <t>9.2</t>
  </si>
  <si>
    <t>9.3</t>
  </si>
  <si>
    <t>9.4</t>
  </si>
  <si>
    <t>9.5</t>
  </si>
  <si>
    <t>10.1</t>
  </si>
  <si>
    <t>Diseño y desarrollo de actividades de control (Integra el desarrollo de controles con la evaluación de riesgos; tiene en cuenta a qué nivel se aplican las actividades; facilita la segregación de funciones).</t>
  </si>
  <si>
    <t>10.2</t>
  </si>
  <si>
    <t>10.3</t>
  </si>
  <si>
    <t>11.1</t>
  </si>
  <si>
    <t>Seleccionar y Desarrolla controles generales sobre TI para apoyar la consecución de los objetivos .</t>
  </si>
  <si>
    <t>11.2</t>
  </si>
  <si>
    <t>11.3</t>
  </si>
  <si>
    <t>11.4</t>
  </si>
  <si>
    <t>12.1</t>
  </si>
  <si>
    <t>Despliegue de políticas y procedimientos (Establece responsabilidades sobre la ejecución de las políticas y procedimientos; Adopta medidas correctivas; Revisa las políticas y procedimientos).</t>
  </si>
  <si>
    <t>12.2</t>
  </si>
  <si>
    <t>12.3</t>
  </si>
  <si>
    <t>12.4</t>
  </si>
  <si>
    <t>12.5</t>
  </si>
  <si>
    <t>13.1</t>
  </si>
  <si>
    <t>Info y Comunicación</t>
  </si>
  <si>
    <t>Utilización de información relevante (Identifica requisitos de información; Capta fuentes de datos internas y externas; Procesa datos relevantes y los transforma en información).</t>
  </si>
  <si>
    <t>13.2</t>
  </si>
  <si>
    <t>13.3</t>
  </si>
  <si>
    <t>13.4</t>
  </si>
  <si>
    <t>14.1</t>
  </si>
  <si>
    <t>Comunicación Interna (Se comunica con el Comité Institucional de Coordinación de Control Interno o su equivalente; Facilita líneas de comunicación en todos los niveles; Selecciona el método de comunicación pertinente).</t>
  </si>
  <si>
    <t>14.2</t>
  </si>
  <si>
    <t>14.3</t>
  </si>
  <si>
    <t>14.4</t>
  </si>
  <si>
    <t>15.1</t>
  </si>
  <si>
    <t>Comunicación con el exterior (Se comunica con los grupos de valor y con terceros externos interesados; Facilita líneas de comunicación).</t>
  </si>
  <si>
    <t>15.2</t>
  </si>
  <si>
    <t>15.3</t>
  </si>
  <si>
    <t>15.4</t>
  </si>
  <si>
    <t>15.5</t>
  </si>
  <si>
    <t>15.6</t>
  </si>
  <si>
    <t>16.1</t>
  </si>
  <si>
    <t>Monitoreo - Supervisión</t>
  </si>
  <si>
    <t>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t>
  </si>
  <si>
    <t>16.2</t>
  </si>
  <si>
    <t>16.3</t>
  </si>
  <si>
    <t>16.4</t>
  </si>
  <si>
    <t>16.5</t>
  </si>
  <si>
    <t xml:space="preserve">17.1 </t>
  </si>
  <si>
    <t>Evaluación y comunicación de deficiencias oportunamente (Evalúa los resultados, Comunica las deficiencias y Monitorea las medidas correctivas).</t>
  </si>
  <si>
    <t xml:space="preserve">17.2 </t>
  </si>
  <si>
    <t xml:space="preserve">17.3 </t>
  </si>
  <si>
    <t xml:space="preserve">17.4 </t>
  </si>
  <si>
    <t xml:space="preserve">17.5 </t>
  </si>
  <si>
    <t xml:space="preserve">17.6 </t>
  </si>
  <si>
    <t xml:space="preserve">17.7 </t>
  </si>
  <si>
    <t xml:space="preserve">17.8 </t>
  </si>
  <si>
    <t xml:space="preserve">17.9 </t>
  </si>
  <si>
    <t>Socializacion del Codigo de Integridad</t>
  </si>
  <si>
    <t>No se han establecidos lineas de denuncia interna sobre situaciones irregulares propiamente en la Agencia; Sin embargo, la entidad cuenta con el módulo de PQRSDF y el sistema Mercurio para presentar las respectivas quejas o denuncias si a bien lo consideran tanto los servidores como los contratistas de la Agencia.</t>
  </si>
  <si>
    <t>Manual Gestion del Riesgo M-ES-DE-001 - Direccionamiento Estratégico</t>
  </si>
  <si>
    <t>Evaluacion de Desempeño Laboral de los Servidores de a Agencia</t>
  </si>
  <si>
    <t>Seguimiento y Verificacion al cargue de la Evaluacion de Desempeño Laboral de los Servidores de a Agencia</t>
  </si>
  <si>
    <t>Resolucion Interna 3844 de 2021 - Manual Funciones Competencias Laborales Actualizado - Sapiencia</t>
  </si>
  <si>
    <t>Politica de Gestion del Conocimiento y la Innovacion</t>
  </si>
  <si>
    <t>Plan de Capacitacion PIC 2023</t>
  </si>
  <si>
    <t>Plan de Auditorias Legales, Financieras y Basadas en Riesgos 2023</t>
  </si>
  <si>
    <t xml:space="preserve">Plan de Accion Institucional </t>
  </si>
  <si>
    <t>Seguimiento Semestral al Mapa de riesgos de la Entidad</t>
  </si>
  <si>
    <t>Seguimiento Semestral al Mapa de Riesgos de la Entidad</t>
  </si>
  <si>
    <t>La entidad cuenta con un Manual para la Gestion del Riesgo - codigo: M-ES-DE-001, en el cual se especifica los elementos del proceso de gestión del riesgo, que inicia con la determinación del contexto y la identificación de los riesgos asociados a cada proceso y  termina con el seguimiento y monitoreo de los mismos para establecer acciones efectivas
para minimizar y controlar las causas de los riesgos o mitigar sus consecuencias.</t>
  </si>
  <si>
    <t>Comité Coordinador Sistema Control Interno</t>
  </si>
  <si>
    <t>Comité de Coordinación de Control Interno</t>
  </si>
  <si>
    <t>Sistema Integrado de Gestion</t>
  </si>
  <si>
    <t>Matriz de Riesgos</t>
  </si>
  <si>
    <t>Matriz de Riesgos de la Entidad</t>
  </si>
  <si>
    <t>Informes Auditorias legales y Basadas en Riesgos</t>
  </si>
  <si>
    <t>Comité Grupo Directivo</t>
  </si>
  <si>
    <t>Modelo Integrado de Planeacion y Gestion - MIPG</t>
  </si>
  <si>
    <t>Auditorias Legales, Financieras y Basadas en Riesgos</t>
  </si>
  <si>
    <t xml:space="preserve">Observatorio de Sapiencia (ODES) </t>
  </si>
  <si>
    <t>Manual de Auditoria Interna - SAPIENCIA</t>
  </si>
  <si>
    <t>Planes de Mejoramiento - Auditorias Internas</t>
  </si>
  <si>
    <t>Seguimiento Planes de mejoramiento</t>
  </si>
  <si>
    <t>Informe de Seguimiento Planes de mejoramiento</t>
  </si>
  <si>
    <t>En la entidad la Administracion del Riesgo se centra en todos los procesos y/o procedimientos de manera general- Los informes de gestion realizados al Mapa de Riesgos, son presentados a la Alta Direccion  quien se encarga de analizarlos y utilizar la informacion como insumo en la toma de decisiones</t>
  </si>
  <si>
    <t>El componente “Actividades de Control”, se encuentra presente y funcionando, la agencia con el fin de mitigar los riesgos y optimizar los procesos de la entidad ha implementado y actualizado procedimientos y manuales, orientados a la gestión adecuada del riesgo.
En la entidad se llevan a cabo Informes de Seguimiento y Auditorias Internas que permiten evaluar los procesos a traves de los procedimientos, politicas, manuales, etc. Y determinar se las actividades de control son efectivas
La contruccion del Mapa de Riesgos de SAPIENCIA incluye el diseño de los controles establecidos acorde a las necesidades de cada proceso. El informe de Gestion de Riesgos es realizado por el area de Direcionamiento Estrategico y el seguimiento al mismo lo realiza la Oficina de Control Interno.
La agencia ha venido trabajando en la mejora continua del monitoreo de la gestión a través de indicadores, mapa de riesgos, planes de acción, entre otros.
Es así como el Sistema de Gestion de la Calidad de SAPIENCIA, define cada uno de los procesos internos, los riesgos asociados a estos y los Controles, los cuales son evaluados periodicamente para determinar su eficiencia.</t>
  </si>
  <si>
    <t>El componente “Información y Comunicación” se encuentra presente y funcionando de manera adecuada. Por lo que se resalta la importancia de seguir implementando estrategias que permitan fortalecer los diferentes canales de comunicación en la entidad.
La entidad a traves de los diferentes canales de atencion al usuario y las politicas de atencion a las PQRSDF y Racionalizacion de Tramites, facilita el flujo de informacion entre los entes externos e internos. Adicionalmente se tienen las redes sociales como medio de comunicación externo. Todo esto debidamente documentado.
Las PQRSDF que son radicadas en la Agencia son clasificadas y respondidas en caso de requerirlo, siguiendo las disposiciones incluidas en el reglamento de atencion de las PQRSDF y el Manual de Atencion al usuario, siguiendo los lineamientos de las leyes 1712 de 2014, 1755 de 2015 y 1581 de 2012.
El area de Atencion a la Ciudadania realiza informes bimensuales de atencion al usuario, por otra parte la Oficina de Control Interno, hace informe de seguimiento semestral a los canales de atencion al ciudadano y seguimiento de PQRSDF. Cuatrimestralmente se realiza el informe de seguimiento al Plan Anticorrupción y de Atención al Ciudadano. De tales informes surgen recomendaciones encaminadas a mejorar el proceso de atencion.
Por parte de la Oficina de Control Interno, se realizan los respectivos seguimientos semestrales a las PQRSDF, los cuales son comunicados y presentados a la Alta Direccion.</t>
  </si>
  <si>
    <t>El componente “Actividades de Monitoreo” se encuentra presente y funcionando. SAPIENCIA cuenta con un esquema de monitoreo sólido, el cual está basado en riesgos y articulado a las líneas de defensa.
Se realizan reuniones periodicas del Comité de Coordinación de Control Interno - en donde se evaluan las auditorias realizadas, los hallazgos y los planes de mejoramiento derivados de las mismas.
Por su parte la Oficina de Control Interno, hace seguimiento a los planes de mejoramiento derivados de las auditorias y seguimientos realizados durante la vigencia, con el fin de determinar el cumplimiento y efectividad de las acciones allí planteadas.
Las Auditorias Basadas en Riesgos a realizar durante determinada vigencia, se eligen con base en el analisis de Riesgos.Los Informes de Auditorias Internas Basadas en Riesgos de la entidad contienen hallazgos y recomendaciones que son objeto de seguimiento periodico por la Oficina de Control Interno.
Los Informes de Auditoria Interna se entregan a la Alta Dirección para su conocimiento y fines pertinentes así como los seguimientos a los planes de mejoramiento.</t>
  </si>
  <si>
    <t>Seguimiento semestral a la Matriz de Riesgos</t>
  </si>
  <si>
    <t>El componente "Evaluación del Riesgo" es importante para la Agencia toda vez que le permite continuar tomando las medidas necesarias y pertinentes con el fin de evitar la materializacion de algun riesgo dentro de la entidad. 
Al inicio de cada vigencia, el Area de Planeacion junto con los lideres de los procesos construyen el Mapa de Riesgos, el cual es aprobado por la Alta Direccion y publicado en la pagina web de SAPIENCIA. Adicionalmente se realiza un monitoreo constante y un seguimiento semestral a los riesgos. 
Tanto el Manual de Gestión del  Riesgo de la Entidad como la Matriz de los mismos, permiten identificar los riesgos asociados a cada proceso, establecer controles que conlleven a disminuir la probabilidad de ocurrencia de los mismos y mitigar su impacto. 
En la entidad la Administracion del Riesgo se centra en todos los procesos y/o procedimientos de manera general. Los informes de gestion realizados al la Matriz de Riesgos, son presentados a la Alta Direccion  quien se encarga de analizarlos y utilizar la informacion como insumo en la toma de decisiones.
Por otro lado, la Agencia durante la vigencia 2023  se ha venido evidenciando que en los últimos seguimientos de vigencias anteriores, en algunos procesos se han tomado acciones para evitar o reducir la materialización de riesgos y su posible impacto en los objetivos y planeación de la Agencia; siendo ésta una buena práctica y una accion de mejora que impacta de manera positiva a la Entidad.</t>
  </si>
  <si>
    <t>El Componente "Ambiente de Control" durante el periodo evaluado, se encuentra presente y funcionando. Se evidenció que mejoró significativamente en su cumplimiento, por lo que se debe seguir realizando actividades que permitan continuar con su correcta implementación.
Se presentan avances con la socializacion del Codigo de Integridad y Buen Gobierno de la Entidad asi como la socializacion de los deberes y prohibiciones del personal sobre conflictos de interes.
Las acciones planateadas dentro del compenenete 6 del PAA fueron las siguientes:
•Fomentar en el Talento Humano el Código de Integridad y Buen Gobierno.
•Realizar sensibilizaciones a los colaboradores sobre el tema de conflicto de interesess
•Realizar, por parte de los colaboradores de la Agencia, el Curso de Integridad, Transparencia y Lucha contra la Corrupción.
Se evidencia la gestión integral del talento humano y las estrategias adoptadas para promover la integridad en el servicio público.
Se ha implementado el codigo de convivencia así como el modulo de PQRDSF presenta la opcion de interponer una quejas o denuncia de forma anonima si así lo considera el servidor o colaborador de la Agencia.</t>
  </si>
  <si>
    <t>Micrositio de Integridad en la pagina web de Sapiencia.</t>
  </si>
  <si>
    <t>Analisis de temas criticos acerca de situaciones que puedan afectar la integridad - Conflicto de Intereses, Consanguinidad entre servidores publicos.</t>
  </si>
  <si>
    <t>Socializacion sobre Conflicto de Intereses y Consanguinidad entre servidores publicos.</t>
  </si>
  <si>
    <t>Manual de Politica de Tratamiento de Datos Personales PL-AP-GJ-001</t>
  </si>
  <si>
    <t>Aviso de privacidad (código F-AP-GJ-023)</t>
  </si>
  <si>
    <t>Autorización para el tratamiento de datos personales (código F-AP-GJ-022)</t>
  </si>
  <si>
    <t>Licencia para el uso de bases de datos de los beneficiarios (código F-AP-GJ-024)</t>
  </si>
  <si>
    <t>Acuerdo de confidencialidad (código F-AP-GJ-029)</t>
  </si>
  <si>
    <t>Términos y condiciones de uso de establecimiento público (código F-AP-GJ-075)</t>
  </si>
  <si>
    <t>La entidad cuenta con el Manual de Politica de Tratamiento de Datos Personales M-AP-GJ-001. Esta, se aplica a todas las bases de datos que contengan información personal y que sean objeto de tratamiento de SAPIENCIA como responsable y/o encargada del tratamiento de los datos y de los que manejen los operadores. La misma será responsabilidad de la Agencia de Educación Postsecundaria de Medellín
A traves del Manual de Politica de Tratamiento de Datos Personales M-AP-GJ-001 de SAPIENCIA, se establece la autorización para el tratamiento de datos personales, el aviso de privacidad, la licencia para el uso de bases de datos de los beneficiarios, el acuerdo de confidencialidad y los Términos y condiciones de uso de establecimiento público, en el que la agencia se compromete a tomar las medidas necesarias para que la información privilegiada u objeto de reserva no sea conocida por terceros que no estén legalmente autorizados.</t>
  </si>
  <si>
    <t>Politica de Integridad F-AP-GJ-001</t>
  </si>
  <si>
    <t>*Con respecto a los conflictos de interés, los deberes de los servidores públicos de la Agencia son:
a. Revelar a tiempo y por escrito a los entes competentes cualquier conflicto de interés que crea tener;
b. Contribuir a que se permita la adecuada realización de las funciones encomendadas a los órganos de control interno y externo de la Agencia;
c. Guardar y proteger la información que la normatividad legal haya definido como de carácter reservado;
d. Contribuir a que se le otorgue a la ciudadanía un trato equitativo, y a que se le garanticen sus derechos;
e. Revelar a tiempo cuando incurran en alguna de las situaciones enunciadas en el artículo sobre prevención de conflictos.
*Se adopto la Politica de Integridad para la Agencia mediante la resoluacion N°2085 del 10/07/2023.
*Se realizan socializaciones a los servidores publicos de la Agencia sobre conflicto de intereses y consanguinidad entre los mismos.</t>
  </si>
  <si>
    <t>Codigo de Integridad y Buen Gobierno - SAPIENCIA F-AP-GJ-011</t>
  </si>
  <si>
    <t>El seguimiento y evaluación al Código de integridad y Buen Gobierno de la Agencia de Educación Postsecundaria de Medellín – Sapiencia, se realiza a traves del seguimiento al Plan Anticorrupcion y de Atencion al Ciudadano en el componente N° 6 - Iniciativas de la Entidad.
Las acciones planeadas fueron durante el II semestre de 2023 fueron las siguientes:
•Fomentar en el Talento Humano de la entidad el Código de Integridad y Buen Gobierno.
•Realizar sensibilizaciones a los colaboradores sobre el tema de conflicto de intereses y consanguinidad entre los servidores publicos.
•Realizar, por parte de los colaboradores de la Agencia, el Curso de Integridad, Transparencia y Lucha contra la Corrupción.
*Se adopto la Politica de Integridad para la Agencia mediante la resoluacion N°2085 del 10/07/2023.</t>
  </si>
  <si>
    <t>Se llevó a cabo la capacitacion de la Politica de Tratamiento de Datos Personales en febrero del 2023, encontrandose que se viene dando apliacion a la misma. Ademas, la normatividad esta vigente y actualizada a la fecha. 
Por otro lado se verificó a traves del PAAC, el Manual de Politica de Tratamiento de Datos Personales de SAPIENCIA con sus respectivos formatos y su aplicabilidad en la Agencia 
Se verificaron ademas, así como los acuerdos de confidencialidad y la licencia para uso de base de datos llevados acabo durante el segundo semestre de 2023 evidenciandose que los mismos se encontraban de conformidad tanto con la politica como con los respectivos formatos.</t>
  </si>
  <si>
    <t>Informe Seguimiento Gestion de Riesgos Semestral 2023-2</t>
  </si>
  <si>
    <t>Seguimiento semestral Mapa de Riesgos 2023-2</t>
  </si>
  <si>
    <t>Mapa de Riesgos Procesos 2023</t>
  </si>
  <si>
    <t>Mapa de Riesgos Corrupcion 2023</t>
  </si>
  <si>
    <t>Se elaboró el mapa de riesgos de la Agencia con los líderes de los procesos. Dentro de los riesgos identificados estan incluidos riesgos de Corrupcion. Se realizó el respectivo seguimiento a la matriz de riesgos 2023-2</t>
  </si>
  <si>
    <t>Se elaboró el mapa de riesgos de la Agencia con los líderes de los procesos para inicios del 2023. En total, se identificaron 57 riesgos dentro de los procesos instiucionales mas 4 riesgos del proyecto C4TA sumados a los 13 riesgos de corrupción identificados en la Entidad.
La Oficina de Control Interno con apoyo de Planeación Estrategica, realiza el seguimiento semestral al Mapa de Riesgos de SAPIENCIA, en el cual se evaluan los controles diseñados en la Gestión del Riesgo y la efectividad de los mismos</t>
  </si>
  <si>
    <t>A traves de la Resolucion 6914 del 26/10/2017, se conformó y se reglamentó el Comité de Coordinacion de Control Interno, en donde se incluyen aspectos importantes como: Creación, Objetivos, Conformación, Funciones, periodicidad de las sesiones, etc.</t>
  </si>
  <si>
    <t>Seguimiento al Modelo Integrado de Planeacion y Gestion</t>
  </si>
  <si>
    <t>Las lineas de defensa estan conformadas de la siguiente manera:
1. Linea Estrategica: conformada por la Alta Direccion y el Comité de Coordinación de Control Interno
2. Primera Linea de Defensa: conformada por los ccoordinadores de los procesos.
3. Segunda Linea de defensa: conformada por Planeacion
4. Tercera linea de defensa: conformada por la oficina de Control Interno
Así mismo, se realizó durante el segundo semestre de 2023, el seguimiento a la implemetacion del Modelo Integrado de Planeacion y Gestion.</t>
  </si>
  <si>
    <t>Las lineas de reporte estan definidas dentro del esquema de lineas de defensa de la entidad.</t>
  </si>
  <si>
    <t>Guía para la Administración del Riesgo y el diseño de controles en entidades públicas- DAFP</t>
  </si>
  <si>
    <t>Seguimiento al Modelo Integrado de Planeacion y Gestion 2023-2</t>
  </si>
  <si>
    <t>La Alta Dirección define los niveles de aceptacion del riesgo, los cuales estan plasmados en el Manual de Gestion del Riesgo y los mismos, son administrados de conformidad con la Guia del DAFP a los cuales se les realiza el respectivo informe de la gestion de los riesgos en la entidad así como el seguimiento al mapa de riesgos y la materializacion o no de los mismos.</t>
  </si>
  <si>
    <t>Reporte Bimestral Plan de Acción Institucional</t>
  </si>
  <si>
    <t>Informe Bimestral Plan de Acción Institucional</t>
  </si>
  <si>
    <t>Tanto en el Manual de Gestion del Riesgo como en la guia para la administracion de los riesgos, se establece la politica de Administracion del Riesgos, acorde a los objetivos de la entidad. A los mismos, se les realizan tanto el informe de la gestion de los riesgos por parte de direccionamiento estrategico como el respectivo seguimiento al mapa de riesgos de la entidad. La materizalicion de los roesgos, se debe reportar al proceso de direccionamiento estrategico de manera bimestral a traves del reporte al plan de accion institucional.</t>
  </si>
  <si>
    <t>El objetivo del Manual de Gestion del Riesgo es describir el proceso metodológico para establecer el contexto, la identificación, el análisis, la evaluación, el tratamiento, el seguimiento y la comunicación de los riesgos en los diferentes procesos de la Agencia de Educación Postsecundaria de Medellín-Sapiencia. A partir del segundo semestre de 2022, fue implementada por el DAFP la nueva metodologia para la adminsitracion de los riesfos en la entidades publicas, la cual ya se encuentra implementada en la entidad.</t>
  </si>
  <si>
    <t>Planeacion estrategica realiza seguimiento continuo a la Gestion del Riesgo de la entidad, estableciendo lineamientos y generando alertas oportunas que permitan garantizar el correcto funcionamiento de los procesos. Así mismo, de forma semestral, la Oficina de Control Interno, realiza el respectivo seguimiento al Mapa de Riesgos de la entidad, haciendo enfasis en la materizalicion o no de los mismos y las repestivas acciones de mejoramiento con el fin de evitar y prevenir la mencionada materializacion.</t>
  </si>
  <si>
    <t>Política de Gestión Estratégica del Talento Humano (GETH)</t>
  </si>
  <si>
    <t>Evaluacion Institucional Gestion por Dependencias</t>
  </si>
  <si>
    <t>Seguimiento y Verificacion al cargue de la Evaluacion de Desempeño Laboral de los Servidores de la Agencia</t>
  </si>
  <si>
    <t>La Agencia cuenta con una Planta de 13 cargos, cinco de libre nombramiento (5), siete de carrera administrativa (7) y uno de periodo (1).
En su gran mayoria, los colaboradores de la Agencia son contratistas prestadores de servicios y apoyo a la gestion, quienes se encargan de liderar el desarrollo de las actividades propias de los procesos de la Agencia.</t>
  </si>
  <si>
    <t>Desde Gestion del Talento Humano, se realiza el respectivo seguimiento a todas las actividades concernientes a la permanencia y bienestar del personal de planta.
Así mismo, se realiza la respectiva encuesta de clima organizacional e innovacion en la entidad.</t>
  </si>
  <si>
    <t xml:space="preserve">El Manual Funciones y Competencias Laborales de Sapiencia fue actualizado en el año 2021 y el mismo describe el rol de cada servidor y las funciones a desempeñar relacionadas con el Sistema de Control Interno.
Así mismo, se adoptó la Política de Gestión Estratégica del Talento Humano (GETH) para la Agencia de Educación Postsecundaria de Medellín – Sapiencia mediante resolucion N°3647 de 2023. </t>
  </si>
  <si>
    <t xml:space="preserve">Para el cumplimiento de sus funciones la Agencia de Educación Postsecundaria de Medellín - Sapiencia, cuenta con una planta global conformada por 13 cargos, los cuales se encuentran desagregados en libre nombramiento (5), carrera administrativa (7) y de periodo (1).
Se Adopta la Política de Gestión Estratégica del Talento Humano (GETH) para la Agencia de Educación Postsecundaria de Medellín – Sapiencia mediante resolucion N°3647 de 2023. </t>
  </si>
  <si>
    <t xml:space="preserve">La Gestión del Talento Humano es de carácter estratégico, de manera que todas sus actividades estan alineadas con los objetivos de la entidad.
*Se realiza la evaluacion institucional a la gestion por dependencias, lo que redunda en un seguimiento a la ejecucion del plan de accion institucional.
*Se realizan las respectivas evaluaciones de desempeño laboral de comformidad con la norma (Ley 909 de 2004).
*Se realiza el seguimiento y verificacion a la evaluacion de desempeño laboral de los servidores publicos de la Agencia.
*Se Adopta la Política de Gestión Estratégica del Talento Humano (GETH) para la Agencia de Educación Postsecundaria de Medellín – Sapiencia mediante resolucion N°3647 de 2023. </t>
  </si>
  <si>
    <t>La Gestión del Talento Humano GETH debe tener un carácter estratégico, de manera que todas sus actividades estén alineadas con los objetivos de la entidad. Por lo tanto, desde el proceso de Gestion del Talento Humano, se asegura la selección, la capacitación, la evaluación del desempeño y la calidad de la vida laboral de los servidores publicos de la Agencia, convientiendose estas en herramientas adecuadas para el ejercicio de las funciones y responsabilidades y en condición mínima para facilitar el autocontrol por parte de cada servidor.
Es por lo anterior, que se procedio por parte de la entidad, con la adopcion de la Política de Gestión Estratégica del Talento Humano (GETH) para la Agencia de Educación Postsecundaria de Medellín – Sapiencia mediante resolucion N°3647 de 2023.</t>
  </si>
  <si>
    <t>La estrategia de administracion del conocimiento de la entidad quedo plasmada dentro de la Politica de Gestion del Conocimiento y la Innovacion, adoptada mendiante resolucion N° 8513 de 2020. Tras la salida de un servidor y/o un colaborador de SAPIENCIA, ocurria muchas veces que el proceso de la gestion del conocimiento era complejo. Sin embargo, con la implemnetacion de la Politica, con la salida de cualquier colaborador, se deja el respectivo back up con la informacion gestionada por el colaborador saliente.</t>
  </si>
  <si>
    <t>Politica de Gestion del Conocimiento y la Innovacion en Sapiencia</t>
  </si>
  <si>
    <t>En el Plan Estrategico de Talento Humano, se desarrollan acciones estrategicas, para administrar el conocimiento que queda en la entidad y se elaboran informes donde se especifican las razones de retiro.
Se adoptó mendiante resolucion N° 8513 de 2020 la Politica de Gestion del Conocimiento y la Innovacion en la Agencia.</t>
  </si>
  <si>
    <t>Las actividades del Plan de Accion son monitoreadas y evaluadas para garantizar su cumplimiento a traves de la evaluacion de gestion por dependencias, realizando un seguimiento de los avances propios del plan de accion.</t>
  </si>
  <si>
    <t>El plan de capacitacion PIC, esta incluido en el Plan de Accion Institucional 2023 y el mismo es evaluado en el marco de la Gestion del Riesgo institucional.</t>
  </si>
  <si>
    <t>Las evaluaciones realizadas en la agencia involucran todos los niveles y procesos de la entidad, incluidos aquellos llevados a cabo por contratistas de apoyo, pues estos representan mas del 90% de la planta de personal</t>
  </si>
  <si>
    <t>Informes de Auditoria Basadas en Riesgos y Financieras</t>
  </si>
  <si>
    <t>A traves del Plan de Auditorias Legales, Financieras y Basadas en Riesgos 2023, se realiza el respectivo seguimiento a las actividades que se llevan a cabo al interior de la entidad las cuales son realizadas por los contratistas prestadores de servicios y de apoyo a la gestion.</t>
  </si>
  <si>
    <t>Informes Legales o Reglamentarios</t>
  </si>
  <si>
    <t>Reporte mensual de actividades - contratistas de servicios y de apoyo a la gestion.</t>
  </si>
  <si>
    <t>Reportes al Plan de Acción Institucional</t>
  </si>
  <si>
    <t>La informacion financiera esta disponible para su analisis por la Alta Direccion, adicionalmente se hacen entregas mensuales de los reportes financieros para su seguimiento y control.
Por su parte, la Oficina de Control Interno realiza las respectivas Auditorias Financieras (Seguridad Social, Tributaria y Conciliaciones Bancarias) de manera cuatrimestral durante cada vigencia.</t>
  </si>
  <si>
    <t>Los estandares para los reportes estan debidamente definidos en el Sistema Integrado de Gestion -- Isolucion. Así mismo, los reportes al Plan de Accion Institucional, son realizados de manera bimestral y enviados a Planeacion Estrategica quien es el responsable de realizar el respectivo seguimiento a los mencionados reportes.
Todos los reportes generados por las diferentes dependencias y procesos de la Agencia, son enviados y puestos en conocimiento de la Alta Direccion para los fines que a bien consideren pertinentes.</t>
  </si>
  <si>
    <t>Reportes financieros realizados por el proceso de Gestion Financiera de la Agencia (P-AP-GF-001 Para la destinación y ejecución del presupuesto, P-AP-GF-002 Pago obligaciones, P-AP-GF-003 Declaración bimestral de retenciones en la fuente sobre el impuesto de industria y comercio- ICA, P-AP-GF-004 Conciliación de cuentas, P-AP-GF-005 Cierre del periodo, P-AP-GF-006 Declaración mensual de retención en la fuente, P-AP-GF-008 Registro y causación de responsabilidades, P-AP-GF-009 Elaboración, seguimiento y control al PAC, P-AP-GF-010 Cierre de vigencia reservas presupuestales, P-AP-GF-011 Cierre de vigencia excedentes financieros, P-AP-GF-012 Elaboración del proyecto de presupuesto de ingresos y gastos, P-AP-GF-013 Cierre de vigencia recursos del balance, P-AP-GF-014 Administración de ingresos y egresos, P-AP-GF-015 Gestión de Crédito, P-AP-GF-016 Cierre mensual de cartera)</t>
  </si>
  <si>
    <t>Auditorias Financieras (Seguridad Social, Tributaria y Conciliaciones Bancarias)</t>
  </si>
  <si>
    <t>La alta direccion tiene en cuenta la informacion financiera reportada desde el proceso de Gestion Financiera para la toma de decisiones. A  su vez, la Oficina de Control Interno realiza durante cada vigencia, 9 auditorias financieras, las cuales son enviadas a la Alta direccion para los fines que considere pertinentes.</t>
  </si>
  <si>
    <t>La generacion de reportes estan estandarizados y definidos en su alcance, periodicidad y responsable en el Sistema Integrado de Gestion - Isolucion. Las directrices para el reporte del plan de accion institucional, son establecidas por Planeacion Estrategica.</t>
  </si>
  <si>
    <t>La informacion generada en los seguimientos realizados por Planeacion Estretegica y la Oficina de Control Interno, es usada como insumo para optimizar la toma de decisiones y facilitar el cumplimiento de los objetivos y es puesta en conocimiento de la Alta Direccion para que proceda de conformidad.</t>
  </si>
  <si>
    <t>La informacion generada por el proceso de Planeacion Estrategica y por la Dependencia de al Oficina de Control Interno, permite la toma de decisiones de manera oportuna por parte de la Alta Direccion.</t>
  </si>
  <si>
    <t>Informes de Seguimiemto realizados por Planeacion Estrategica (productos o servicios establecidos en la caraterizacion del proceso) y la Oficina de Control Interno (Plan de Auditorias Internas - Legales/Reglamentarias, Financieras y Basadas en Riesgos)</t>
  </si>
  <si>
    <t>La estructura de Control se evalua a partir de la Gestion del Riesgo definida por la entidad con base en la Guía para la Administración del Riesgo y el diseño de controles en entidades públicas- DAFP</t>
  </si>
  <si>
    <t>Seguimiento Anual a los Planes de Mejoramiento de las Auditorias Internas</t>
  </si>
  <si>
    <t>Seguimiento Semestral a los Planes de Mejoramiento de la Contraloria Distrital de Medellín</t>
  </si>
  <si>
    <t>Plan de Auditorias Internas - Legales, Financieras y Basadas en Riesgos Vigencia 2023</t>
  </si>
  <si>
    <t>El Plan de Auditorias Internas - Legales, Financieras y Basadas en Riesgos, es aprobado por el Comité de Coordinación del Sistema de Control Interno y por el Consejo Directivo y su cumplimiento es monitoreado de manera periodica.</t>
  </si>
  <si>
    <t>Informes de Auditoria Interna Basadas en Riesgos</t>
  </si>
  <si>
    <t>Los informes realizados por la Oficina de Control Interno, son entregados a los Jefes de las dependencias y al Director de la entidad, los cuales se encargan de realizar las respectivas acciones de mejora y garantizar la implementacion de las mismas.
Los resultados de las evaluaciones se presentan al Comité de Coordinación de Control Interno.</t>
  </si>
  <si>
    <t>Seguimiento a la implementacion de las acciones de mejoramiento</t>
  </si>
  <si>
    <t>Informes Seguimiento Legales o Reglamentarios</t>
  </si>
  <si>
    <t>Informes Auditorias Legales Basadas en Riesgos</t>
  </si>
  <si>
    <t>Los informes de Auditoria son presentados a la Alta Direccion y los jefes de las distintas dependencias de la Agencia y socializados en el Comité de Coordinacion de Control Interno.
Aunado a lo anterior, se realizan seguimientos periodicos a la implementacion de las acciones de mejoramiento derivadas de los hallazgos y observaciones de las auditorias basadas en riesgos.</t>
  </si>
  <si>
    <t>Sistema Integrado de Gestion - Isolucion</t>
  </si>
  <si>
    <t>El Plan Estratégico “Camino a la Transformación Educativa 2020-2023” se encuentra publicado en la sitio web de SAPIENCIA, en el cual se detalla cada uno de los procesos y los objetivos correspondientes, y el mismo, se encuentra alineado con el plan de accion institucional.
De manera bimestral se realiza el respectivo reporte al plan de accion institucional, el cual es enviado al proceso de planeacion estrategica quien es el encargado de realizar el correspondiente seguimiento.</t>
  </si>
  <si>
    <t>Plan Estrategico“Camino a la Transformación Educativa 2020-2023” SAPIENCIA</t>
  </si>
  <si>
    <t>Mapa de Procesos de SAPIENCIA</t>
  </si>
  <si>
    <t>Caracterizacion de procesos, procedimientos, manuales, politicas, instructivos, formatos</t>
  </si>
  <si>
    <t>Indicadores de Gestion de los diferentes procesos de la Agencia</t>
  </si>
  <si>
    <t>Cada una de las dependencias y de los procesos de la entidad, estan debidamente documentados. Cada procesos posee su respectiva caraterizacion, procedimiento, manual, instructivo entre otros, en donde se definen sus objetivos, el alcance, sus productos y servicios entre otros.</t>
  </si>
  <si>
    <t>Cada proceso esta definido dentro del SSistema Integrado de Gestion - Isolucion, los cuales estan debidamente documentados siguiendo los parametros vigentes. Cada uno de estos cuenta con su respectivo caraterizacion del proceso, donde se define su objetivo y los productos o servisio que presta el area, los cuales estan alineados con los programas, proyectos y planes estrategicos de cada proceso.</t>
  </si>
  <si>
    <t>Reporte Bimestral Plan de Accion Institucional</t>
  </si>
  <si>
    <t>A traves de los reportes que se realizan tanto a los indicadores de Gestion de los diferentes procesos de la Agencia como al plan de accion institucional de manera bimestral, la Alta Direccion se mantiene al tanto del cumplimiento de los objetivos de cada proceso o dependencia de la Agencia.</t>
  </si>
  <si>
    <t>Desde Planeacion Estrategica, se realiza el respectivo seguimiento periodico al cumplimiento de objetivos a traves de los indicadores de gestion de los diferentes procesos de la Agencia, así como el reporte bimestral del plan de accion institucional, lo que permite a la Alta Direcciona la toma de decisiones de manera efectiva.</t>
  </si>
  <si>
    <t>La Administración del Riesgo y el diseño de controles de la entidad abarca todos los procesos de manera integral.</t>
  </si>
  <si>
    <t>Instancia del más alto nivel jerárquico, creado como órgano asesor e instancia decisora en los asuntos de control interno, de obligatoria conformación para todas las entidades estatales. (Ley 87 de 1993, art 13 y Decreto 648 de 2017).</t>
  </si>
  <si>
    <t>La estructura de Control Interno esta definida por los procesos y procedimientos implementados por la entidad y acorde con la Guía para la Administración del Riesgo y el diseño de controles en entidades públicas- DAFP.
El informe de seguimiento a la gestion de los riesgos de la entidad es realizado por el proceso de Planeacion Estrategica y el mismo a su vez, es verificado mediante el seguimiento al mapa de riesgos de la entidad realizado por la Oficina de Control Interno.
Los riesgos materializados , son puestos en conocimiento del proceso de Planeacion Estrategica quien realizan el respectivo seguimiento a los mismos. Así mismo, el proceso donde se dio la materializacion del riesgo, deja la respectiva constancia en el reporte al plan de accion institucional.</t>
  </si>
  <si>
    <t>El Plan de Auditoria Internas se construyó teniendo en cuenta los informes exigidos por ley y las auditorias de Riesgos a los Procesos claves de la entidad.
La Oficina de Control Interno hace seguimiento mensual al cumplimiento de las actividades contenidas en el Plan de Auditorias Internas - Legales, Financieras y Basadas en Riesgos.
A traves del Comité de Coordinación de Control Interno, se hace seguimiento semestral al cumplimiento del Plan de Auditorias Internas y a los resultados obtenidos de los seguimientos efectuados.
Por su parte, Planeación Estrategica realiza seguimientos periodicos a la Ejecución del Plan de Auditoria a traves de los seguimientos al Plan de Acción Institucional y al Mapa de Riesgos de la Entidad.</t>
  </si>
  <si>
    <t>Seguimiento Semestral al Mapa de Riesgos de la Entidad 2023-2</t>
  </si>
  <si>
    <t>La Gestion del Riesgo en la entidad esta en cabeza del proceso de Planeacion Estrategica. Es este proceso, el encargado de realizar de forma semestral, el informe de seguimiento de la gestion de riesgos en la entidad. Así mismo, la Oficina de Control Interno, realiza el respectivo seguimiento al mapa de riesgos de manera semestral.</t>
  </si>
  <si>
    <t>El proceso de Planeacion Estrategica es el encargado de definir y monitoriar (en conjunto con los lideres de los procesos) la Gestion del Riesgo de la entidad. La Oficina de Control Interno, se encarga de realizar de manera semestral, el respectivo seguimiento al mapa de riesgos de la entidad.</t>
  </si>
  <si>
    <t>De conformidad tanto con el Manual Gestion del Riesgo como con la Guía para la Administración del Riesgo y el diseño de controles en entidades públicas- DAFP, cuando se presenta la materializacion de algun riesgo dentro de la Agencia, el mismo se reporta al proceso de Planeacion Estrategica, y son ellos junto con el responsable del proceso, quienes diseñan las acciones de mejora que permitan mitigar su impacto. Estas acciones son objeto de analisis y seguimiento tanto en el informe de gestion de riesgos como en el seguimiento al mapa de riesgos de la entidad, con el fin de verificar la efectividad de los nuevos controles establecidos así como actualizacion del mapa.</t>
  </si>
  <si>
    <t>El informe de Seguimiento a la Gestión de Riesgos de la entidad se realiza de manera semestral de conformidad tanto con el Manual Gestion del Riesgo como con la Guía para la Administración del Riesgo y el diseño de controles en entidades públicas- DAFP por el proceso de Planeacion Estrategica y el mismo es verificado por la Oficina de Control Interno a traves del seguimiento al mapa de riesgos de la entidad, igualmente de forma semestral.</t>
  </si>
  <si>
    <t>Matriz de Riesgos de Corrupcion de la Entidad</t>
  </si>
  <si>
    <t>Desde el proceso de Planeacion Estrategica, se realiza el informe de seguimiento a la Gestion del Riesgo de la entidad. De Igual forma, la Oficina de Control Interno, realiza el seguimiento al mapa de riesgos de la entidada de forma semestral. Los informes son puestos en conocimiento de la Alta Direccion y los mismos, son insumos para la toma de decisiones en cuanto a las acciones para prevenir o mitigar, segun el caso, la materializacion de riesgos dentro de la Agencia.</t>
  </si>
  <si>
    <t>Cuando se presenta la materializacion de riesgos dentro de la entidad, el mismo se debe reportar al proceso de Planeacion Estrategica, y son ellos junto con los responsables de los procesos, los que toman las medidas de accion de mejora, que permitan la mitigacion del impacto y la implementacion de controles efectivos con el fin de evitar futuras materializaciones o mitigar el impacto de los mismos. Lo anterior, conlleva a la actulziacion del respectivo mapa de riesgos de la entidad.</t>
  </si>
  <si>
    <t>El seguimiento de la Gestion del Riesgo en la entidad es realizado por el proceso de Planeacion Estrategica. Así mismo, la Oficina de Control Interno realiza el respectivo seguimiento al mapa de riesgos de la entidad. Ambos son presentados a la Alta Direccion con el fin de que sirvan como insumo para la toma de decisiones que se consideren pertinentes en cuanto a la prevencencion en cuanto a la materializacion de risgos o la mitigacion del impacto de los mismos.</t>
  </si>
  <si>
    <t>El informe de Gestión de Riesgos esta en cabeza del proceso de Planeacion Estrategica, quien en conjunto con los lideres de los procesos, definen la materializacion y no materializacion del Riesgo de conformidad tanto del Manual Gestion del Riesgo del entidad como con la Guía para la Administración del Riesgo y el diseño de controles en entidades públicas- DAFP, ademas de las acciones tomadas para mitigar el impacto; mientras que la Oficina de Control Interno, verifica que dichas acciones se esten llevando a cabo y que realmente sean efectivas a traves de los seguimientos semestrales que se realizan al mapa de riesgos de la entidad. 
Los mismos, son puestos en conocimiento de la Alta Direccion con el fin de que tome las decisiones que considere pertinentes en cuanto a la prevencencion en cuanto a la materializacion de risgos o la mitigacion del impacto de los mismos.</t>
  </si>
  <si>
    <t>Luego de realizar los respectivos analisis al entorno de la Agencia, la entidad define que procesos que pueden ser susceptibles de actos de corrupcion y los mismos son consignados en el mapa de riesgos de corrupcion de la entidad, los cuales estan plenamente definidos e identificados por Planeacion Estrategica junto con los lideres de cada proceso de la Agencia.</t>
  </si>
  <si>
    <t>De conformidad con la Guía para la Administración del Riesgo y el diseño de controles en entidades públicas- DAFP, se realizan los respectivos analisis al entorno de la Agencia, se definen aquellos procesos que puedan ser susceptibles de actos de corrupcion y se toman medidas acordes para evitar o mitigar el impacto de estos hechos o actos.</t>
  </si>
  <si>
    <t>La entidad cuenta con el mapa de riesgos de corrupcion plenamente definidos e identificados por cada proceso dentro de la entidad, a los cuales, de forma semestral, se les realiza el seguimiento a su gestion tanto por el proceso de Planeacion Estrategica y como por la Oficina de Control Interno de la Agencia.</t>
  </si>
  <si>
    <t>La entidad tiene una estructura organica asi como unos los niveles jerarquicos definidaos, en la que cada uno de los servidores tienen unas funciones concretas, establecidas en la Resolucion Interna 3844 de 2021 por medio de la cual se ajusto el Manual de Funciones, Competencias y Requisitos Laborales Actualizado - Sapiencia.</t>
  </si>
  <si>
    <t>La entidad cuenta con un organigrama definido, cada una de las funciones estan divididas con el fin de reducir el Riesgo de Fraude.Todos y cada uno de los servidores publicos e la Agencia, tienen unas funciones definidas y concretas.
El Manual de Funciones, Competencias y Requisitos Laborales Actualizado - Sapiencia fue ajustado por la Resolucion Interna 3844 de 2021.</t>
  </si>
  <si>
    <t>Todos los informes de seguimiento generados tanto por la segunda y tercera linea de defensa, sonenviados a la Alta Direccion, y es allí donde se define el curso de accion mas apropiado para mejorar las fallas en los controles y mitigar el impacto de los mismos.</t>
  </si>
  <si>
    <t>De conformidad con la Guía para la Administración del Riesgo y el diseño de controles en entidades públicas- DAFP y el Manual Gestion del Riesgo M-ES-DE-001 de SAPIENCIA , los Riesgos son evaluados constantemente y los mismos van cambiando y evolucionando conforme a las nuevas necesidades que se van presentando en la entidad.</t>
  </si>
  <si>
    <t>Se elaboró el mapa de riesgos de la Agencia con los líderes de los procesos para inicios del 2023. En total, se identificaron 57 riesgos dentro de los procesos de la Agencia (incluidos 4 riesgos del proyecto C4ta) y 13 riesgos de corrupción.
El proceso de Planeación Estrategica, realiza seguimiento semestral al Mapa de Riesgos de SAPIENCIA tanto de los procesos como los de corrupcion, en el cual se evaluan los controles diseñados en la Gestión del Riesgo y la efectividad de los mismos y que las acciones esten en encaminadas tanto como para prevenir la ocurrencia de algun riesgo de este tipo como para mitigar el impacto de los mismos.
Así y de forma semestral, la Oficina de Control Interno, realiza el respectivo seguimiento al mapa de rirsgos de corrupcion.</t>
  </si>
  <si>
    <t>De conformidad tanto con la Guía para la Administración del Riesgo y el diseño de controles en entidades públicas- DAFP como con el Manual Gestion del Riesgo M-ES-DE-001 de SAPIENCIA, el proceso de Planeacion Estrategico junto con los diferentes lideres de los procesos, realizan el analisis de aquellos factores tanto extenos como internos que afectan la Gestion del Riesgo en la entidad y ademas se encargan de definir las acciones pertinentes para actualizar el mapa de riesgos tanto de procesos con de corrupcion.
Son ellos los encargados de prevenir la ocurrencia de algun riesgo como de la mitigacion de los impactos de los mismos.</t>
  </si>
  <si>
    <t>A traves de los distintos informes de seguimiento realizados por el proceso de Planeacion Estrategica, se detectan las fallas en los controles y se toman medidas para su mejora y con esto mitigar el impacto de las mismas.
Asi mismos, los informes de auditorias legales y basada en riesgos, son puestos en conocimiento de la Alta Direccion con el fin de que tomen las medidas pertinentes frente a los fallos en los diferentes controles y mitigar el impacto de los mismos.</t>
  </si>
  <si>
    <t>La Administración del Riesgo y el diseño de controles de la entidad abarca todos los procesos de la Agencia de manera integral. Así mismo, los informes de seguimiento derivados del analisis de la gestion del riesgo en la entidad, son entregados a la Alta Direccion con el fin de que tomen las deciciones pertinentes frente prevencion del riesgos y la mitigacion del impacto de los mismos cuando se materealizan.</t>
  </si>
  <si>
    <t xml:space="preserve">Al inicio de cada vigencia, el proceso de Planeacion Estrategica junto con los lideres de los diferentes procesos de la Agencia, construyen el Mapa de Riesgos, el cual es aprobado por la Alta Direccion y publicado en la pagina web de SAPIENCIA. Adicionalmente se realiza un monitoreo constante y un seguimiento semestral a los riesgos llevado a cabo tanto por Planeacion Estrategica como por la Oficina de Control Interno. </t>
  </si>
  <si>
    <t>El Mapa de Riesgos es aprobado por la Direccion General de la entidad, y es quien define y verifica la pertinencia de los riesgos.</t>
  </si>
  <si>
    <t>Informes legales y/o reglamentarios</t>
  </si>
  <si>
    <t>La Alta Direccion, recibe todos los informes generados por la segunda y tercera linea de defensa, define el curso de accion mas apropiado para mejorar las fallas en los controles.</t>
  </si>
  <si>
    <t>Los informes Generados por la Segunda y Tercera Linea de defensa son presentados a la Alta Direccion con el fin de que observe la realidad de la entidad y pueda tomar las acciones pertinentes frente a las fallas en los controles que puedan surgir en los procesos.</t>
  </si>
  <si>
    <t>Los cambios en los diferentes niveles de la entidad son detectados a traves de las evaluaciones internas realizadas por las demas lineas de defensa y analiza el impacto que dichos cambios puedan causar en el Sistema de Control Interno de la entidad.</t>
  </si>
  <si>
    <t>Sapiencia, a traves de su sistema integrado de gestion Isolucion, del Manual Gestion del Riesgo M-ES-DE-001, entre otros, analiza todos los cambios en la Agencia que puedan afectar el Sistema de Control Interno de la entidad.</t>
  </si>
  <si>
    <t>Informes de Auditoria Interna</t>
  </si>
  <si>
    <t>Seguimiento a las obligaciones relacionadas con el fortalecimiento de la meritocracia</t>
  </si>
  <si>
    <t>A partir de las seguimientos, informes legales y/o reglamentarios y de las auditorias internas, se evalua la idoneidad del personal a cargo de los procesos y se verifican las funciones realizadas por los mismos en la entidad.</t>
  </si>
  <si>
    <t>El sistema Integrado de Gestion de la Agencia - Isolucion, esta basado en la norma internacional NTC ISO - 9001:2015 y en el Sistema Integrado de Planeacion y Gestion - MIPG.</t>
  </si>
  <si>
    <t>Sistema Integrado de Gestion de Sapiencia - Isolucion.</t>
  </si>
  <si>
    <t>Sapiencia cuenta con el Sistema Integrado de Gestion - Isolucion, el cual se encuentra de conformidad e integrado con el Modelo Integrado de Planeacion y Gestion MIPG.</t>
  </si>
  <si>
    <t>PETI</t>
  </si>
  <si>
    <t>Politica de Gobierno Digital</t>
  </si>
  <si>
    <t>Politica de Seguridad de la Informacion Digital</t>
  </si>
  <si>
    <t>Plan de Seguridad y Privacidad de la informacion</t>
  </si>
  <si>
    <t>Plan de Tratamiento y Seguridad de la Informacion</t>
  </si>
  <si>
    <t>Manual de Contratacion, Supervision e Interventoria.</t>
  </si>
  <si>
    <t>Mediante la resolucion N° 3652 de 2023, se adopto la Politica de Gobierno Digital para la Agencia. Así mismo, se adopto mediante resolucion N° 3883 de 2023, la Politica de Seguridad de la Informacion Digital de la Agencia. La Agencia cuenta de igual manera Plan de Seguridad y Privacidad de la informacion y con el Plan de Tratamiento y Seguridad de la Informacion. Desde el proceso de Gestion de Sistemas de Informacion, se realizan los controles pertinentes a la infraestructura tencologica de la Agencia.
Desde el proceso de Gestion Contractula, se llevan a cabo todos los procesos de adqusicion, desarrollo y mantenimiento de tecnologias. El proceso de Gestion de Sistemas de Informacion, hace parte del comite de estructuracion y evaluacion contractual desde el rol tecnico.</t>
  </si>
  <si>
    <t>Las actividades de Control sobre la infraestructura tecnologica, los procesos de gestion y seguridad de la informacion, etc. estan definidos tanto en la Politica de Gobierno Digital como en la Politica de Seguridad de la Informacion Digital, así como en el PETI del proceso de Gestion de Sistemas de Informacion de la Agencia. Son estos, los encargados de velar por la seguridad de la informacion, a traves de los controles establecidos de conformidad con las politicas adoptadas por la Agencia.
En cuanto a los procesos de adquisicion, desarrollo y mnatenimiento de tecnologias, los mismos son competencia del proceso de Gestion Contractual, sin embargo, el proceso de Gestion de Sistemas de Informacion, hace parte del comite de estructuracion y evaluacion contractual desde el rol tecnico.</t>
  </si>
  <si>
    <t>Durante los seguimientos internos realizados por el proceso de Planeacion Estrategica y/o por la Oficina de Control Interno, se ha identifican situaciones donde no se puede segregar adecuadamente las funciones por falta de personal. Es por esto, que como actividades de control, se tiene la contratacion de personal de apoyo a la gestion con el fin cimplir con la misionalidad de la entidad.</t>
  </si>
  <si>
    <t xml:space="preserve">La entidad tiene una estructura organica asi como unos los niveles jerarquicos definidos, en la que cada uno de los servidores tienen unas funciones concretas, establecidas en la Resolucion Interna N° 3844 de 2021 por medio de la cual se ajusto el Manual de Funciones, Competencias y Requisitos Laborales Actualizado - Sapiencia. </t>
  </si>
  <si>
    <t>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N° 3844 de 2021.</t>
  </si>
  <si>
    <t>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N° 3844 de 2021.</t>
  </si>
  <si>
    <t>Durante el segundo semestre de 2023 se realizó la Auditoria Basada en Riesgos al proceso de Gestion de Sistemas de Informacion TI, lo cual permitio hacer seguimiento a los controles implementados ademas de verificar los avances obtenidos en el ultimo año.</t>
  </si>
  <si>
    <t>Seguimiento Planes de Mejoramiento Auditorias Internas</t>
  </si>
  <si>
    <t>Durante la realizacion de los informes de seguimiento o de Auditorias Internas, se evaluan los procesos, procedimientos, politicas, manuales e instructivos con el fin de determinar su pertinencia en las actividades de control.</t>
  </si>
  <si>
    <t>Desde el proceso de Planeacion Estrategica junto con los lideres de los diferentes procesos, se estructura el Mapa de Riesgos de procesos y de corrupcion de la entidad y es allí donde se diseñan y definen los controles frente a los mismos de cada proceso.
Ahora, a traves del seguimiento a la gestion de los riesgos realizado por el proceso de Planeacion Estrategica y el seguimiento al mapa de riesgos de la entidad, se evalua la efectividad de los controles establecidos para la prevencion de la materializacion de algun riesgo.</t>
  </si>
  <si>
    <t>La construccion y estructuracion del Mapa de Riesgos de Sapiencia, es realziada por proceso de Planeacion Estrategica junto con los lideres de los diferentes procesos, el mismo incluye el diseño de los controles establecidos acorde a las necesidades de cada proceso. 
El informe de seguimiento a la Gestion de Riesgos de la Agencia, es realizado por el proceso de Palneacion Estrategica y el seguimiento al mapa de riesgos de la entidad es realizado por la Oficina de Control Interno, ambos de manera semestral.</t>
  </si>
  <si>
    <t>Los riesgos de procesos y de corrupcion, son monitoreados de manera semestral a traves del seguimiento a la gestion de los riesgos de la entidad y al mapa de riesgos, tanto por el proceso de Planeacion Estrategica como por la Oficina de Control Interno, teniendo en cuenta los lineamientos del Manual de Gestion del Riesgo de Sapiencia como con la Guía para la Administración del Riesgo y el diseño de controles en entidades públicas- DAFP</t>
  </si>
  <si>
    <t>A traves del reporte bimestral del Plan de Accion Institucional y de los respectivos seguimientos tanto a la gestion de los riesgos en la Agencia como al Mapa de Riesgos, se verifican los controles de cada uno de los procesos y sus responsables y que los mismos esten encaminadas tanto a prevenir la materializacion de algun riesgos como a la mitigacion del impacto de los mismos si se presentaran.</t>
  </si>
  <si>
    <t>Plan de Accion Institucional Sapiencia</t>
  </si>
  <si>
    <t>El Sistema Integrado de Gestion de Sapiencia - Isolucion, define cada uno de los procesos internos, los riesgos asociados a estos y los controles, los cuales son evaluado de forma periodicamente para determinar su eficiencia y efectividad.</t>
  </si>
  <si>
    <t>Politica de Planeacion Institucional.</t>
  </si>
  <si>
    <t>El proceso de Planeacion Estrategica, realiza informe de seguimiento a la gestion de los riesgos de la Agencia y las acciones tomadas en la materializacion de los mismos de manera semestral. La Oficina de Control Interno se encarga de realizar el seguimiento semestral al mapa de rirsgos de la entidad y verificar que las acciones realizadas sean realmente efectivas, ademas de que las mismas esten encaminadas a prevenir la materializacion de algun riesgos o la mitigacion del impacto de los mismos.</t>
  </si>
  <si>
    <t>Desde el proceso de Planeacion Estrategica, se definen todos y cada uno de los controles de los procesos de la Agencia y ademas se evalua la efectividad de estos periodicamente.</t>
  </si>
  <si>
    <t>La entidad cuanta con sistemas de informacion como el Observatorio de Sapiencia - ODES</t>
  </si>
  <si>
    <t>El Observatorio de Sapiencia (ODES) es una unidad de analisis y seguimiento de informacion en torno a la educación postsecundaria, que se encarga del monitoreo y seguimiento de indicadores; de hacer análisis, informes y boletines; y de la generación de información a partir de estudios y encuestas. Ademas, el ODES posee dentro del sitio web de la Agencia, el micrositio de Baterias de Indicadores, donde se publican todos los avances a partir de los estudios realizados.</t>
  </si>
  <si>
    <t>Sistema Integrado de Gestion de Sapiencia - Isolucion</t>
  </si>
  <si>
    <t>Plan Institucional de Archivos - PINAR</t>
  </si>
  <si>
    <t>Sapiencia cuenta con en el Sistema Mercurio,, con el cual la agencia administra la Informacion que se produce al interior de la misma. Lo anterior, permiten la consulta de la misma de manera eficaz y eficiente y dado el caso su actualizacion.
Así mismo, se espera que al termino del primer semestre de 2024, entre en funcionamiento el Aplicativo "Aurora", sistema de informacion creado a la medida de la entidad con el cual se pretende gestionar de mejor manera tanto la informacion como los procesos de la entidad.</t>
  </si>
  <si>
    <t>La entidad cuenta con una politica de Gestion Documental así como con un Plan Institucional de Archivos - PINAR, Los mismos son ejecutados por el proceso de Gestion Documental. Así mismo, la Agencia cuenta con el Sistema Mercurio, (funciona como repositorio de la informacion) a traves del cual se almacena toda la informacion producida por la entidad, externa e interna. El mismo aplicativo permitir ademas, actualizar la informacion según se requiera.
Así mismo, Sapiencia cuenta con Isolucion como sistema integrado de gestion, en lcual se puede conulsttar toda la informacion de cada uno de los procesos, sus productos o servicios, controles, riesgos y demas.</t>
  </si>
  <si>
    <t>Politica de Transparencia y Acceso a la Informacion Publica</t>
  </si>
  <si>
    <t>La entidad cuenta con diferentes fuentes de datos y de informacion, como son el ODES, las encuestas de satisfaccion, los Informes de Auditoria interna y externa, los seguimientos, etc.</t>
  </si>
  <si>
    <t>A traves del ODES, de las encuestas de satisfaccion, seguimientos y auditorias interna y externas, se genera informacion relevante que permiten la consecucion de metas y objetivos en la entidad.</t>
  </si>
  <si>
    <t>Politica de Tratamiento y Proteccion de Datos</t>
  </si>
  <si>
    <t>Politica de Privacidad y Condiciones de Uso de la Pag Web</t>
  </si>
  <si>
    <t>Indice de Informacion Clasificada y Reservada</t>
  </si>
  <si>
    <t>La Agencia, fomenta en el Talento Humano de la entidad el Código de Integridad y Buen Gobierno, a traves de sensibilizaciones a los colaboradores sobre el tema de conflicto de intereses y consanguinidad entre los servidores publicos.
Así mismo, se promueve entre los colaboradores de la Agencia, el Curso de Integridad, Transparencia y Lucha contra la Corrupción. Ademas, se creo el micrositio de integridad dentro de la pag web de la entidad.
De igual forma, la Agencia cuenta con el Indice de Informacion Clasificada y Reservada (Socializada con los colaboradores de la entidad) ademas de la Politica de Privacidad y Condiciones de Uso de la Pag Web parqa los usurios de la misma.</t>
  </si>
  <si>
    <t xml:space="preserve">Para la comunicacion interna dentro de la Agencia, se cuentan como el correo electronico institucional, el aplicativo Teams, la aplicación WhatsApp y lineas telefonicas. Aunado a lo anterior, se cuenta como el Sistema Mercurio en el cual se radican la mayoria de las solicitudes entre procesos de la Agencia, lo que permite acceder de manera rapida y eficaz a la informacion. </t>
  </si>
  <si>
    <t>La Alta direccion se encuentra comprometida con el funcionamiento de la Agencia y trata de estar siempre accesible a cualquier servidor o colaborador que lo requiera. Por otra parte, la informacion generada por los diferentes procesos es compartida con la Direccion General para ayudar a la toma de decisiones a traves de los diferentes canales de comuncacion interna que posee la Agencia.</t>
  </si>
  <si>
    <t>Sapciencia cuenta con las politicas y los procedimientos necesarios que le permiten una adecuada administracion de la informacion. Allí estan definods los procesos responsables de su operación y del respectivo seguimiento que se hagan a las mismas.</t>
  </si>
  <si>
    <t>Canales de comunicación interna: Correo Institucional, Teams, Grupo WhatsApp Institucional, lineas telefonicas, Sistema Mercurio.</t>
  </si>
  <si>
    <t>Canales de comunicación interna: Correo Institucional,  Grupo WhatsApp Institucional , lineas telefonicas, Sistema Mercurio.</t>
  </si>
  <si>
    <t>Correo electronico institucional</t>
  </si>
  <si>
    <t>Modulo PQRSDF</t>
  </si>
  <si>
    <t>La entidad cuenta con canales internos de comunicación que permiten realizar denuncias anonimas o confidenciales. Aunado a lo anterior, se cuenta con el modulo de las PQRSDF en el cual se puede presentar la repestiva denuncia relacionada con posibles actos de corrupción presuntamente cometidos por servidores públicos de la Agencia de Educación Postsecundaria de Medellín - Sapiencia, en el desempeño de sus funciones. Así mismo, tambien se puede realziar la respectiva denuncia a través del correo electrónico:info@sapiencia.gov.co.</t>
  </si>
  <si>
    <t>Las comunicaciones internas oficiales de Sapiencia se realizan a traves del Sistema Mercurio administrado por el proceso de Gestion documental (quien dicta las directrices de la comunicacion interna en la agencia, pues son ellos los encargados de la administracion de la ventanilla unica de correspondencia) y a traves de las lineas internas de comunicación, como lo son el correo institucional, el modulo de las PQRSDF y las lineas telefonicas.</t>
  </si>
  <si>
    <t>La entidad, a traves de las directrices del proceso de Gestion Documental, ha establecido los procedimientos de comunicación interna, ademas de los lineamientos que facilitan el relacionamiento entre todas las dependencias.</t>
  </si>
  <si>
    <t>Correo electronico Institucional</t>
  </si>
  <si>
    <t>Redes Sociales de la Entidad (Instagram, Facebook, X, WhatsApp).</t>
  </si>
  <si>
    <t>correo electrónico: info@sapiencia.gov.co.</t>
  </si>
  <si>
    <t xml:space="preserve">Política de Atención a la Ciudadanía </t>
  </si>
  <si>
    <t>Manual de Atencion a la Ciudadania</t>
  </si>
  <si>
    <t>Politica de Racionalización de Tramites</t>
  </si>
  <si>
    <t>La entidad cuenta con el Sistema Mercurio, en el cual se radican todas las comununicaciones tanto internas como externas que son allegadas a la Agencia. De igual forma, la entidad cuenta con el correo electronico institucional info@sapiencia.gov.co, con el chat de la pag web de Sapiencia y con el modulo de las PQRSDF para atender cualquier comuniciacion externa que sea entregada a la Agencia para ser resuelta. Cuenta ademas la Agencia, con sus respectivas redes sociales donde comparte informacion de interes para la ciudadania así como responder inquitudes o derechos de peticion.</t>
  </si>
  <si>
    <t>La entidad a traves de los diferentes canales de atencion al usuario y las politicas de Atencion a la Ciudadania y Racionalizacion de Tramites, facilita el flujo de informacion entre los entes externos e internos. Adicionalmente se cuenta con las redes sociales institucionales como medio de comunicación con la cioudadania y el publico en general. Todo esto esta debidamente documentado en el sistema integrado de gestion - Isolucion.</t>
  </si>
  <si>
    <t>La entidad cuenta con diversos canales de comunicación, como el correo institucional info@sapiencia.gov.co, redes sociales (Facebook, Instagram, X, WhatsApp), Linea telefonica de Atencion al usuario, chat pagina web y atencion presencial, ademas de actividades encaminadas a promocionar los programas y fondos de la agencia en todas las comunas del distrito a traves de la divulgacion de las convocatorias in sitio.</t>
  </si>
  <si>
    <t>La entidad a traves de los diferentes canales de atencion al usuario y las politicas de Atencion a la Ciudadania y Racionalizacion de Tramites, facilita el flujo de informacion entre los entes externos e internos. Adicionalmente se cuenta con las redes sociales institucionales como medio de comunicación con la ciudadania y el publico en general. Todo esto esta debidamente documentado en el sistema integrado de gestion - Isolucion y los mismos son ampliamente reconocidos por todos los niveles organizacionales, includos servidores y colaboradores de la entidad.</t>
  </si>
  <si>
    <t>Las PQRSDF que son radicadas en la Agencia, son clasificadas y respondidas en caso de requerirlo, siguiendo las disposiciones incluidas en el reglamento de atencion de las PQRSDF y el Manual de Atencion al usuario, siguiendo los lineamientos de las leyes 1712 de 2014, 1755 de 2015 y 1581 de 2012, ademas de contar con la resolucion N° 1845 de 2023 Por la cual se deroga la Resolución No. 212 de 2016 y se reglamenta el trámite de las Peticiones y la atención de las PQRSDF.</t>
  </si>
  <si>
    <t>Resolucion N° 1845 de 2023 - Reglamenta el Tramite de las PQRSDF</t>
  </si>
  <si>
    <t xml:space="preserve">A traves del proceso de Atencion a la Ciudadania, se reciben una gran numero de PQRSDF, los cuales son radicadas tanto en el Sistema Mercurio como en el modulo de las PQRSDF. De igual forma, la entidad cuenta con el correo electronico institucional info@sapiencia.gov.co, con el chat de la pag web de Sapiencia para atender cualquier comuniciacion externa que sea allegada a la Agencia para ser resuelta. 
Cuenta ademas la Agencia, con el proceso de Gestion Documental, que es quien administra la ventanilla unica de correspondencia, en este caso, en todo lo concerniente a los flujos de trabajos del sistema mercurio en cuanto a la respuesta en terminos legales de las PQRSDF radicadas en la entidad. Es este proceso, quien redirige la peticion al proceso competente para dar la respectiva respuesta.
Así mismo, los sistemas de informacion estan parametrizados para realizar alertas tempranas en cuanto a los terminos legales de respuesta.
</t>
  </si>
  <si>
    <t>Desde el proceso de Atencion a la Ciudadania se realizan los respectivos informes de gestion de atencion al usuario de forma bimestral; por otra parte, la Oficina de Control Interno, realiza el informe de seguimiento semestral a las PQRSDF. Cuatrimestralmente, se realiza el informe de seguimiento al Plan Anticorrupción y de Atención al Ciudadano. De los mencionados informes y seguimientos, surgen recomendaciones encaminadas a mejorar el proceso de atencion a la ciudadania.</t>
  </si>
  <si>
    <t>Informe de Gestion Atencion a la Ciudadania</t>
  </si>
  <si>
    <t>Desde el proceso de Atencion a la Ciudadania, se realizan los respectivos informes de gestion de todos los canales de comunicación de forma bimestral; por otra parte, la Oficina de Control Interno, realiza el informe de seguimiento semestral a las PQRSDF. Cuatrimestralmente, se realiza el informe de seguimiento al Plan Anticorrupción y de Atención al Ciudadano. De los mencionados informes y seguimientos, surgen recomendaciones encaminadas a mejorar el proceso de atencion a la ciudadania.</t>
  </si>
  <si>
    <t>Informe de Seguimiento Semestral a las PQRSDF</t>
  </si>
  <si>
    <t>Informe Seguimiento Cuatrimestarl al Plan Anticorrupción y Atención al Ciudadano</t>
  </si>
  <si>
    <t>Informe de Caracterización de Grupos de Valor</t>
  </si>
  <si>
    <t>Desde el proceso de Planeacion Estrategica, se realzia periodicamente el Informe de Caracterización de Grupos de Valor. El ultimo informe de Grupos de Valor, fue realizado en el año 2022.</t>
  </si>
  <si>
    <t>Desde el proceso de Atencion a la Ciudadania, se realizan las encuestas de satisfaccion de forma semestral periodicas a diversos usuarios con el fin de determinar el grado de satisfaccion con la entidad y de esta manera fortalecer la atencion a la ciudadania y desarrollar cursos de accion para el mejoramiento continuo de los procesos internos. Las mismas son evaluadas a su vez, dentro del seguimiento semestral a las PQRSDF realizado por la Oficina de Control Interno.</t>
  </si>
  <si>
    <t>Reuniones periodicas del Comité de Coordinación de Control Interno - Actas de reunion</t>
  </si>
  <si>
    <t>El Comité de Coordinación de Control Interno aprueba el Plan de Auditorias Internas (Legales, Financieras y Basadas en Riesgos) anualmente.
Se realizan reuniones periodicas del Comité de Coordinación de Control Interno - en donde se evaluan las auditorias realizadas, los hallazgos y los planes de mejoramiento derivados de las mismas.</t>
  </si>
  <si>
    <t xml:space="preserve">Informes de Auditoria Interna </t>
  </si>
  <si>
    <t>Planes de Mejoramiento</t>
  </si>
  <si>
    <t>Plan de Auditorias Internas (Legales, Financieras y Basadas en Riesgos)</t>
  </si>
  <si>
    <t>El Plan de Auditorias Internas (Legales, Financieras  y Basadas en Riesgos) es presentado al Comité de Coordinación de Control Interno quien lo aprueba. 
Durante las reuniones periodicas del Comité de Coordinacion de Control Interno, se hace una presentación con las Auditorias realizadas a la fecha y sus principales hallazgos y avances.
Todos los Informes generados por la Oficina de Control Interno son enviados al Director de la Agencia y a los responsables de los procesos para su conocimiento y como insumo para la elaboración de los planes de mejoramiento</t>
  </si>
  <si>
    <t>Resolucion 7005 de 2017 "Por medio de la cual se adopta el Manual de Auditoría Interna de SAPIENCIA"</t>
  </si>
  <si>
    <t>Tanto los resultados de las Auditorias Internas Legales, financieras y de Riesgos asi como los seguimientos a los Planes de Mejoramiento derivados de estas, se entregan a la Alta Dirección y se exponen en el Comité de Coordinación de Control Interno,</t>
  </si>
  <si>
    <t>Los Informes de Auditoria Interna se entregan a la Alta Dirección para su conocimiento y fines pertinentes, así como los seguimientos a los planes de mejoramiento derivados de los mismos.</t>
  </si>
  <si>
    <t>Informes de Auditorias Internas (Legales, Financieras y Basadas en Riesgos)</t>
  </si>
  <si>
    <t xml:space="preserve">Mapa de Riesgos </t>
  </si>
  <si>
    <t>La Oficina de Control Interno diseño e implemento el Plan de Auditorias Internas (Legales, financieras y Basadas en Riesgos) vigencia 2023 - en el cual se agrupan todas las actividades a realizar durante la vigencia y que van a corde a las disposiciones legales. Se incluye ademas en el mencioando Plan, las Auditorias Basadas en Riesgos a los diferentes procesos de la entidad.</t>
  </si>
  <si>
    <t>Informes de Auditorias Internas Basadas en Riesgos)</t>
  </si>
  <si>
    <t>Las Auditorias Basadas en Riesgos a realizar durante determinada vigencia, se eligen con base en el analisis de Riesgos.
Los Informes de Auditorias Internas Basadas en Riesgos de la entidad contienen hallazgos y recomendaciones que son objeto de seguimiento periodico por la Oficina de Control Interno.
Se publican los seguimientos e informes reglamentarios.</t>
  </si>
  <si>
    <t>Informes de Gestion de Riesgos de la Entidad</t>
  </si>
  <si>
    <t>Desde el proceso de Planeacion Estrategica, se llevan a cabo los seguimientos tanto al reporte del Plan de Accion Institucional de manera bimestral como a la matriz de riesgos de manera semestral.</t>
  </si>
  <si>
    <t>Desde el proceso de Planeacion Estrategica, se se realizan los seguimientos tanto al reporte del Plan de Accion Institucional de manera bimestral como a la matriz de riesgos de manera semestral.</t>
  </si>
  <si>
    <t>Informes de Auditoria Financiera y de Gestion de la Contraloria Distrital de Medellín</t>
  </si>
  <si>
    <t>Seguimiento Planes de mejoramiento CDM</t>
  </si>
  <si>
    <t>Desde la Oficina de Control Interno de la entidad, se realizan dos seguimientos en el año a los Planes de Mejoramiento derivados de las  Auditorias Financieras y de Gestion realizadas por la Contraloria Distrital de Medellín.</t>
  </si>
  <si>
    <t>Desde la Contraloria Distrital de Medellín, se lleva acabo de manera anual una Auditoria Financiera y de Gestion a los diferentes procesos de la entidad.</t>
  </si>
  <si>
    <t>Seguimiento a Planes de Mejoramiento - Auditorias Financieras y de Gestion.</t>
  </si>
  <si>
    <t>Se llevan a cabo seguimientos a los hallazgos y planes de mejoramiento de las auditorias financieras y de gestion realizadas por la Contraloria Distrital y con esto se puede determina la efectividad del Sistema de Control Interno y cual seria el impacto de los hallazgos en el mismo.</t>
  </si>
  <si>
    <t>Desde la Oficina de Control Interno de la entidad, se realizan dos seguimientos en el año a los Planes de Mejoramiento derivados de las  Auditorias Financieras y de Gestion realizadas por la Contraloria Distrital de Medellín. Allí se evalua, la implementacion de las respectivas acciones de mejoramiento del plan.</t>
  </si>
  <si>
    <t>A traves de la Resolucion 6914 de 2017 se conformó y reglamentó el Comité de Coordinacion de Control Interno y es allí donde se reportan las deficiencias del Sistema de Control Interno como resultado del monitoreo continuo en los diferentes informes de auditoria.</t>
  </si>
  <si>
    <t>Actas Comité de Coordinación de Control Interno</t>
  </si>
  <si>
    <t>A traves del Comité de Coordinación de Control Interno, se dan a conocer las falencias y deficiencias del Sistema de Control Interno de la entidad y las posibles acciones de mejora a implementar.</t>
  </si>
  <si>
    <t xml:space="preserve">La Alta Direccion, como parte del Comité de Coordinacion de Control Interno, hace seguimiento a las acciones correctivas relacionadas con las deficiencias observadas en el Sistema de Control Interno comunicadas a traves de los diferentes informes de auditoria de la Oficina de Control Interno. </t>
  </si>
  <si>
    <t>Las evaluaciones a los procesos se hacen a traves de auditorias basadas en riesgos, siguiendo los lineamientos del Manual de Auditoria Interna adoptado por la Agencia en el año 2018. Como insumo fundamental de las mismas, se tiene el mapa de riesgos adoptado para la respectiva vigencia.</t>
  </si>
  <si>
    <t>Todos los procesos de la Agencia, son auditados siguiendo el Manual de Auditoria Interna, el cual tiene un enfoque en Riesgos.
Todos los procesos cuentan con su respectiva Matriz de Riesgos de proceso y algunos riesgos de corrupcion asociados al mismo.</t>
  </si>
  <si>
    <t>De manera semestral, desde el proceso de atencion a la ciudadania, se realiza el informe de gestion de los canales de atencion así como de las encuentas de satisfaccion realziadas a  los usuarios. De manera semestral, la Oficina de Control Interno, realiza el respectivo seguimiento a las PQRSDF. Con base en los mencionados seguimientos, se pueden implementar las acciones  que sean necesarias para el mejramiento del proceso de atencion a la ciudadania.</t>
  </si>
  <si>
    <t>Desde la Oficina de Control Interno, se realiza un seguimiento anual a los planes de mejoramiento de las auditorias internas, donde se verifican los avances en la implementacion de las acciones de mejora derivadas de las Auditorias realizadas durante la vigencia.</t>
  </si>
  <si>
    <t>Se realiza un seguimiento anual a los planes de mejoramiento de las auditorias internas, donde se verifican los avances en la implementacion de las acciones de mejora derivadas de las Auditorias realizadas por la Oficina de Control Interno.</t>
  </si>
  <si>
    <t>Desde el proceso de Planeacion Estrategica, se realiza periodicamente el Informe de Caracterización de Grupos de Valor. El ultimo informe de Grupos de Valor, fue realizado en el año 2022.</t>
  </si>
  <si>
    <t>A traves de las Auditorias Internas y seguimientos a los planes de mejoramiento realizados por la Oficina de Control Interno, se genera informacion relevante sobre los controles establecidos y la efectividad de los mismos.</t>
  </si>
  <si>
    <t>Desde la Oficina de Control Interno, se realiza un seguimiento anual a los planes de mejoramiento de las auditorias internas, donde se verifican los avances en la implementacion de las acciones de mejora derivadas de las Auditorias realizadas durante la vigencia.
Anuado a lo anterior, se realizan dos seguimientos en el año a los Planes de Mejoramiento derivados de las  Auditorias Financieras y de Gestion realizadas por la Contraloria Distrital de Medellín, y determinar así si las acciones de mejora si estan siendo efectivas.</t>
  </si>
  <si>
    <t xml:space="preserve">
Las deficiencias del Sistema de Control Interno de la entidad son socializadas en el Comité de Coordinacion de Control Interno y ademas se realiza seguimiento a las acciones correctivas relacionadas con las deficiencias observadas</t>
  </si>
  <si>
    <t xml:space="preserve">El proceso de Gestion de Sistemas de Informacion TI de la entidad, desarrolla actividades de control internas efectivas a traves del sistemas integrado de gestion de la calidad y de la mapa de riesgos de la Agencia. </t>
  </si>
  <si>
    <t>SAPIENCIA, Actualmente cuenta con un Comité Institucional de Coordinación de Control Interno, creado mediante Resolución 6914 de 2017, mediante el cual realiza el seguimiento a cada uno de los componentes del Sistema de Control Interno, teniendo en cuenta el Plan de Auditorias Internas (Legales y Basadas en Riesgos) como guia para su adecuado monitoreo.
Tanto los componentes como el Sistema Integrado de Gestion de la Entidad - Isolucion, operan de manera articulada para apoyar el fortalecimiento del Sistema de Control Interno, lo que permite la integración de cada una de las dependencias en el cumplimiento de los objetivos estrategicos de la entidad.</t>
  </si>
  <si>
    <t>El Sistema de Control Interno es efectivo en la consecucion de los objetivos estrategicos en la medida que las politicas, procesos, mecanismos de control, evaluacion del riesgo, facilitan el logro de los objetivos propuestos.
A través del Sistema de Control Interno se realiza seguimiento a todos los procesos y procedimientos de la entidad con el apoyo del proceso de Planeación Estrategica; Aunado a lo anterior, la Oficina de Control Interno por su parte, realiza Auditorias Basadas en Riesgos que le permiten a la Alta Dirección identificar oportunidades de mejora y le facilita la  toma de decisiones.</t>
  </si>
  <si>
    <t>La entidad cuenta con un esquema definido, en el cual se establecen las lineas de defensa y se articulan con el Comite de Coordinacion de Control Interno, el Comite de Gestion y Desempeño, las diferentes areas de la entidad, la Oficina de Control Interno y demas entes que ejercen funciones de Control y vigilancia.
El Modelo Integrado de Planeación y Gestión - MIPG - se ha venido implementando en la entidad a traves de entrategias alineadas con las directrices del Departamento Administrativo de la Funcion Publica - DAFP - las cuales estan articuladas con el Plan Estrategico de SAPIENCIA.</t>
  </si>
  <si>
    <t>SEMESTRE II - 2023</t>
  </si>
  <si>
    <t>El seguimiento y evaluación al Código de integridad y Buen Gobierno de la Agencia de Educación Postsecundaria de Medellín – Sapiencia, se realiza a traves del seguimiento al Plan Anticorrupcion y de Atencion al Ciudadano en el componente N° 6 - Iniciativas de la Entidad.
Las acciones planeadas fueron durante el II semestre de 2023 fueron las siguientes:
•Fomentar en el Talento Humano de la entidad el Código de Integridad y Buen Gobierno.
•Realizar sensibilizaciones a los colaboradores sobre el tema de conflicto de intereses y consanguinidad entre los servidores publicos.
•Realizar, por parte de los colaboradores de la Agencia, el Curso de Integridad, Transparencia y Lucha contra la Corrupción.
*Se adopto la Politica de Integridad para la Agencia mediante la resolucion N°2085 del 10/07/2023.</t>
  </si>
  <si>
    <t xml:space="preserve">
El Componente "Ambiente de Control" durante el periodo evaluado, se encuentra funcionando en la Agencia en debida forma. Se evidenció el miismo nivel de cumplimiento que el informe anterior, por lo que se deben realizar las actividades que permitan continuar con el avance del componente.
Se presentan avances con la socializacion del Codigo de Integridad y Buen Gobierno de la Entidad asi como la socializacion de los deberes y prohibiciones del personal sobre conflictos de interes.
Las acciones planateadas dentro del compenenete 6 del PAA durante el II semestre de 2023 fueron las siguientes:
•Fomentar en el Talento Humano el Código de Integridad y Buen Gobierno.
•Realizar sensibilizaciones a los colaboradores sobre el tema de conflicto de interesess
•Realizar, por parte de los colaboradores de la Agencia, el Curso de Integridad, Transparencia y Lucha contra la Corrupción.
Se adoptan las Politica de Integridad para la Agencia mediante la resolucion N°2085 del 10/07/2023 y la Política de Gestión Estratégica del Talento Humano (GETH) para la Agencia de Educación Postsecundaria de Medellín – Sapiencia mediante resolucion N°3647 de 2023. 
La Politica de Gestion del Conocimiento y la Innovacion, fue adoptada mendiante resolucion N° 8513 de 2020. Tras la salida de un servidor y/o un colaborador de SAPIENCIA, ocurria muchas veces que el proceso de la gestion del conocimiento era complejo. Sin embargo, con la implemnetacion de la Politica, con la salida de cualquier colaborador, se deja el respectivo back up con la informacion gestionada por el colaborador saliente.
</t>
  </si>
  <si>
    <t>El componente "Evaluación del Riesgo" es importante para la Agencia toda vez que le permite continuar tomando las medidas necesarias y pertinentes con el fin de evitar la materializacion de algun riesgo dentro de la entidad y mitigar el impacto de los mismosen caso de materializacion. 
Al inicio de cada vigencia, el proceso de Planeacion Estrategica junto con los lideres de los procesos construyen el Mapa de Riesgos, el cual es aprobado por la Alta Direccion y publicado en la pagina web de SAPIENCIA. Adicionalmente se realiza un monitoreo constante y un seguimiento semestral a los riesgos. 
Tanto el Manual de Gestión del  Riesgo de la Entidad como la Guía para la Administración del Riesgo y el diseño de controles en entidades públicas- DAFP, permiten identificar los riesgos asociados a cada proceso, establecer controles que conlleven a disminuir la probabilidad de ocurrencia de los mismos y mitigar su impacto. 
En la entidad, la Administracion del Riesgo se centra en todos los procesos y/o procedimientos de manera general. Los informes de gestion realizados a la Matriz de Riesgos, son presentados a la Alta Direccion  quien se encarga de analizarlos y utilizar la informacion como insumo en la toma de decisiones.
Por otro lado,  se evidencia que en los diferentes procesos de la Agencia, se vienen tomando acciones para evitar o reducir la materialización de riesgos y su posible impacto en los objetivos y planeación de la entidad; siendo ésta una buena práctica y una accion de mejora que impacta de manera positiva a la Entidad.</t>
  </si>
  <si>
    <t>La agencia, con el fin de mitigar los riesgos y optimizar los procesos de la entidad, ha implementado y actualizado procedimientos y manuales, orientados a la gestión adecuada del riesgo.
En la entidad se llevan a cabo Informes de Seguimiento y Auditorias Internas que permiten evaluar los procesos a traves de los procedimientos, politicas, manuales, etc. Y determinar se las actividades de control son efectivas
La contruccion del Mapa de Riesgos de SAPIENCIA incluye el diseño de los controles establecidos acorde a las necesidades de cada proceso. El informe de Gestion de Riesgos es realizado por el area de Direcionamiento Estrategico y el seguimiento al mismo lo realiza la Oficina de Control Interno.
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N° 3844 de 2021.
Es así como el Sistema de Gestiode la Agencia - Isolucion, esta basado en la norma internacional NTC ISO - 9001:2015 y en el Sistema Integrado de Planeacion y Gestion - MIPG. Define cada uno de los procesos internos, los riesgos asociados a estos y los Controles, los cuales son evaluados periodicamente para determinar su eficiencia.</t>
  </si>
  <si>
    <t>La entidad a traves de los diferentes canales de atencion al usuario y las politicas de atencion a las PQRSDF y Racionalizacion de Tramites, facilita el flujo de informacion entre los entes externos e internos. Adicionalmente se tienen las redes sociales como medio de comunicación externo. Todo esto debidamente documentado.
Las PQRSDF que son radicadas en la Agencia, son clasificadas y respondidas en caso de requerirlo, siguiendo las disposiciones incluidas en el reglamento de atencion de las PQRSDF y el Manual de Atencion al usuario, siguiendo los lineamientos de las leyes 1712 de 2014, 1755 de 2015 y 1581 de 2012, ademas de contar con la resolucion N° 1845 de 2023 Por la cual se deroga la Resolución No. 212 de 2016 y se reglamenta el trámite de las Peticiones y la atención de las PQRSDF.
El proceso de Atencion a la Ciudadania realiza informes de gestion de atencion al usuario de manera bimestral; por otra parte la Oficina de Control Interno, realiza el informe de seguimiento semestral a las PQRSDF. Cuatrimestralmente, se realiza el informe de seguimiento al Plan Anticorrupción y de Atención al Ciudadano. De tales informes surgen recomendaciones encaminadas a mejorar el proceso de atencion a la ciudadania. Los mismos son comunicados y presentados a la Alta Direccion.</t>
  </si>
  <si>
    <t>SAPIENCIA cuenta con un esquema de monitoreo sólido, el cual está basado en riesgos y articulado a las líneas de defensa.
Se realizan reuniones periodicas del Comité de Coordinación de Control Interno - en donde se evaluan las auditorias realizadas, los informes legales y los planes de mejoramiento derivados de las mismas.
Desde la Oficina de Control Interno de la entidad, se realizan dos seguimientos en el año a los Planes de Mejoramiento derivados de las  Auditorias Financieras y de Gestion realizadas por la Contraloria Distrital de Medellín. Allí se evalua, la implementacion de las respectivas acciones de mejoramiento del plan.
Las Auditorias Basadas en Riesgos a realizar durante determinada vigencia, se eligen con base en el analisis de Riesgos.Los Informes de Auditorias Internas Basadas en Riesgos de la entidad contienen hallazgos y recomendaciones que son objeto de seguimiento periodico por la Oficina de Control Interno.
Los Informes de Auditoria Interna se entregan a la Alta Dirección para su conocimiento y fines pertinentes así como los seguimientos a los planes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</si>
</sst>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0"/>
    <numFmt numFmtId="167" formatCode="0.00000"/>
    <numFmt numFmtId="168" formatCode="0.000000"/>
  </numFmts>
  <fonts count="68" x14ac:knownFonts="1">
    <font>
      <sz val="10"/>
      <color theme="1"/>
      <name val="Arial"/>
      <family val="2"/>
    </font>
    <font>
      <b/>
      <sz val="10"/>
      <color indexed="18"/>
      <name val="Arial"/>
      <family val="2"/>
    </font>
    <font>
      <u/>
      <sz val="10"/>
      <color theme="10"/>
      <name val="Arial"/>
      <family val="2"/>
    </font>
    <font>
      <sz val="10"/>
      <name val="Arial"/>
      <family val="2"/>
    </font>
    <font>
      <b/>
      <i/>
      <sz val="10"/>
      <name val="Arial"/>
      <family val="2"/>
    </font>
    <font>
      <b/>
      <sz val="12"/>
      <color theme="0"/>
      <name val="Arial"/>
      <family val="2"/>
    </font>
    <font>
      <b/>
      <sz val="12"/>
      <name val="Arial"/>
      <family val="2"/>
    </font>
    <font>
      <sz val="10"/>
      <color theme="1"/>
      <name val="Calibri"/>
      <family val="2"/>
      <scheme val="minor"/>
    </font>
    <font>
      <b/>
      <i/>
      <sz val="10"/>
      <color theme="1"/>
      <name val="Arial"/>
      <family val="2"/>
    </font>
    <font>
      <sz val="12"/>
      <name val="Times New Roman"/>
      <family val="1"/>
    </font>
    <font>
      <sz val="10"/>
      <name val="Arial Narrow"/>
      <family val="2"/>
    </font>
    <font>
      <b/>
      <sz val="14"/>
      <name val="Arial Narrow"/>
      <family val="2"/>
    </font>
    <font>
      <b/>
      <u/>
      <sz val="11"/>
      <name val="Arial Narrow"/>
      <family val="2"/>
    </font>
    <font>
      <b/>
      <sz val="10"/>
      <name val="Arial Narrow"/>
      <family val="2"/>
    </font>
    <font>
      <b/>
      <sz val="11"/>
      <name val="Arial Narrow"/>
      <family val="2"/>
    </font>
    <font>
      <b/>
      <sz val="9"/>
      <name val="Arial Narrow"/>
      <family val="2"/>
    </font>
    <font>
      <b/>
      <i/>
      <u/>
      <sz val="9"/>
      <name val="Arial Narrow"/>
      <family val="2"/>
    </font>
    <font>
      <sz val="9"/>
      <name val="Arial Narrow"/>
      <family val="2"/>
    </font>
    <font>
      <sz val="11"/>
      <name val="Arial Narrow"/>
      <family val="2"/>
    </font>
    <font>
      <sz val="12"/>
      <color theme="1" tint="0.34998626667073579"/>
      <name val="Arial Narrow"/>
      <family val="2"/>
    </font>
    <font>
      <sz val="11"/>
      <color theme="1"/>
      <name val="Arial Narrow"/>
      <family val="2"/>
    </font>
    <font>
      <b/>
      <sz val="11"/>
      <color theme="1"/>
      <name val="Arial Narrow"/>
      <family val="2"/>
    </font>
    <font>
      <u/>
      <sz val="11"/>
      <color theme="10"/>
      <name val="Arial Narrow"/>
      <family val="2"/>
    </font>
    <font>
      <b/>
      <sz val="11"/>
      <color theme="0"/>
      <name val="Arial Narrow"/>
      <family val="2"/>
    </font>
    <font>
      <sz val="11"/>
      <color theme="0"/>
      <name val="Arial Narrow"/>
      <family val="2"/>
    </font>
    <font>
      <b/>
      <u/>
      <sz val="11"/>
      <color theme="0"/>
      <name val="Arial Narrow"/>
      <family val="2"/>
    </font>
    <font>
      <i/>
      <sz val="11"/>
      <color theme="0"/>
      <name val="Arial Narrow"/>
      <family val="2"/>
    </font>
    <font>
      <b/>
      <sz val="11"/>
      <color theme="1" tint="0.249977111117893"/>
      <name val="Arial Narrow"/>
      <family val="2"/>
    </font>
    <font>
      <b/>
      <sz val="10"/>
      <color theme="1"/>
      <name val="Arial Narrow"/>
      <family val="2"/>
    </font>
    <font>
      <sz val="10"/>
      <color theme="1"/>
      <name val="Arial Narrow"/>
      <family val="2"/>
    </font>
    <font>
      <b/>
      <i/>
      <sz val="10"/>
      <color theme="1"/>
      <name val="Arial Narrow"/>
      <family val="2"/>
    </font>
    <font>
      <b/>
      <sz val="12"/>
      <color theme="0"/>
      <name val="Arial Narrow"/>
      <family val="2"/>
    </font>
    <font>
      <b/>
      <sz val="10"/>
      <color theme="0"/>
      <name val="Arial Narrow"/>
      <family val="2"/>
    </font>
    <font>
      <b/>
      <sz val="16"/>
      <color theme="0"/>
      <name val="Arial Narrow"/>
      <family val="2"/>
    </font>
    <font>
      <sz val="10"/>
      <color rgb="FFFF0000"/>
      <name val="Arial"/>
      <family val="2"/>
    </font>
    <font>
      <sz val="10"/>
      <color theme="0"/>
      <name val="Arial Narrow"/>
      <family val="2"/>
    </font>
    <font>
      <sz val="10"/>
      <color rgb="FFFF0000"/>
      <name val="Arial Narrow"/>
      <family val="2"/>
    </font>
    <font>
      <b/>
      <sz val="10"/>
      <color rgb="FFFF0000"/>
      <name val="Arial"/>
      <family val="2"/>
    </font>
    <font>
      <b/>
      <sz val="12"/>
      <color rgb="FFFF0000"/>
      <name val="Arial"/>
      <family val="2"/>
    </font>
    <font>
      <sz val="10"/>
      <color theme="1"/>
      <name val="Arial"/>
      <family val="2"/>
    </font>
    <font>
      <b/>
      <sz val="18"/>
      <color theme="0"/>
      <name val="Arial"/>
      <family val="2"/>
    </font>
    <font>
      <b/>
      <sz val="22"/>
      <color theme="1"/>
      <name val="Arial Narrow"/>
      <family val="2"/>
    </font>
    <font>
      <sz val="20"/>
      <color rgb="FFFF0000"/>
      <name val="Arial"/>
      <family val="2"/>
    </font>
    <font>
      <b/>
      <sz val="12"/>
      <name val="Arial Narrow"/>
      <family val="2"/>
    </font>
    <font>
      <b/>
      <sz val="16"/>
      <name val="Arial Narrow"/>
      <family val="2"/>
    </font>
    <font>
      <sz val="20"/>
      <color theme="1"/>
      <name val="Arial Narrow"/>
      <family val="2"/>
    </font>
    <font>
      <sz val="20"/>
      <color theme="0"/>
      <name val="Arial Narrow"/>
      <family val="2"/>
    </font>
    <font>
      <b/>
      <sz val="20"/>
      <color theme="0"/>
      <name val="Arial Narrow"/>
      <family val="2"/>
    </font>
    <font>
      <b/>
      <sz val="14"/>
      <color theme="0"/>
      <name val="Arial Narrow"/>
      <family val="2"/>
    </font>
    <font>
      <b/>
      <sz val="20"/>
      <color theme="0"/>
      <name val="Arial"/>
      <family val="2"/>
    </font>
    <font>
      <sz val="18"/>
      <color theme="1"/>
      <name val="Arial"/>
      <family val="2"/>
    </font>
    <font>
      <sz val="11"/>
      <color rgb="FFFF0000"/>
      <name val="Arial Narrow"/>
      <family val="2"/>
    </font>
    <font>
      <b/>
      <sz val="11"/>
      <color rgb="FFFF0000"/>
      <name val="Arial Narrow"/>
      <family val="2"/>
    </font>
    <font>
      <sz val="25"/>
      <color theme="1"/>
      <name val="Arial"/>
      <family val="2"/>
    </font>
    <font>
      <sz val="16"/>
      <color theme="1"/>
      <name val="Arial"/>
      <family val="2"/>
    </font>
    <font>
      <b/>
      <sz val="16"/>
      <name val="Arial"/>
      <family val="2"/>
    </font>
    <font>
      <b/>
      <sz val="14"/>
      <name val="Arial"/>
      <family val="2"/>
    </font>
    <font>
      <sz val="14"/>
      <color theme="1"/>
      <name val="Arial"/>
      <family val="2"/>
    </font>
    <font>
      <b/>
      <sz val="14"/>
      <color theme="1"/>
      <name val="Arial"/>
      <family val="2"/>
    </font>
    <font>
      <b/>
      <sz val="22"/>
      <color theme="0"/>
      <name val="Arial"/>
      <family val="2"/>
    </font>
    <font>
      <b/>
      <sz val="22"/>
      <color theme="0"/>
      <name val="Arial Narrow"/>
      <family val="2"/>
    </font>
    <font>
      <b/>
      <sz val="24"/>
      <color theme="1"/>
      <name val="Arial Narrow"/>
      <family val="2"/>
    </font>
    <font>
      <b/>
      <sz val="18"/>
      <name val="Arial"/>
      <family val="2"/>
    </font>
    <font>
      <b/>
      <sz val="18"/>
      <color theme="1"/>
      <name val="Arial"/>
      <family val="2"/>
    </font>
    <font>
      <b/>
      <sz val="16"/>
      <color theme="0"/>
      <name val="Arial"/>
      <family val="2"/>
    </font>
    <font>
      <b/>
      <u/>
      <sz val="16"/>
      <color theme="0"/>
      <name val="Arial"/>
      <family val="2"/>
    </font>
    <font>
      <b/>
      <sz val="16"/>
      <color rgb="FFFF0000"/>
      <name val="Arial"/>
      <family val="2"/>
    </font>
    <font>
      <sz val="14"/>
      <name val="Arial"/>
      <family val="2"/>
    </font>
  </fonts>
  <fills count="22">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51"/>
        <bgColor indexed="64"/>
      </patternFill>
    </fill>
    <fill>
      <patternFill patternType="solid">
        <fgColor rgb="FF83A343"/>
        <bgColor indexed="64"/>
      </patternFill>
    </fill>
    <fill>
      <patternFill patternType="solid">
        <fgColor rgb="FFFFCC00"/>
        <bgColor indexed="64"/>
      </patternFill>
    </fill>
    <fill>
      <patternFill patternType="solid">
        <fgColor theme="7" tint="-0.249977111117893"/>
        <bgColor indexed="64"/>
      </patternFill>
    </fill>
    <fill>
      <patternFill patternType="solid">
        <fgColor rgb="FF2E3917"/>
        <bgColor indexed="64"/>
      </patternFill>
    </fill>
    <fill>
      <patternFill patternType="lightTrellis">
        <fgColor theme="0" tint="-0.14996795556505021"/>
        <bgColor theme="0"/>
      </patternFill>
    </fill>
    <fill>
      <patternFill patternType="solid">
        <fgColor theme="4" tint="0.79998168889431442"/>
        <bgColor indexed="64"/>
      </patternFill>
    </fill>
    <fill>
      <patternFill patternType="solid">
        <fgColor theme="6" tint="-0.49998474074526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tint="0.59999389629810485"/>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auto="1"/>
      </top>
      <bottom/>
      <diagonal/>
    </border>
    <border>
      <left style="hair">
        <color auto="1"/>
      </left>
      <right/>
      <top style="hair">
        <color auto="1"/>
      </top>
      <bottom style="hair">
        <color auto="1"/>
      </bottom>
      <diagonal/>
    </border>
    <border>
      <left style="double">
        <color indexed="64"/>
      </left>
      <right/>
      <top style="double">
        <color indexed="64"/>
      </top>
      <bottom/>
      <diagonal/>
    </border>
    <border>
      <left/>
      <right style="thin">
        <color theme="0"/>
      </right>
      <top style="double">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style="hair">
        <color rgb="FF81829A"/>
      </left>
      <right style="hair">
        <color rgb="FF81829A"/>
      </right>
      <top style="hair">
        <color rgb="FF81829A"/>
      </top>
      <bottom style="hair">
        <color rgb="FF81829A"/>
      </bottom>
      <diagonal/>
    </border>
    <border>
      <left style="thin">
        <color rgb="FF81829A"/>
      </left>
      <right style="thin">
        <color rgb="FF81829A"/>
      </right>
      <top style="thin">
        <color rgb="FF81829A"/>
      </top>
      <bottom style="thin">
        <color rgb="FF81829A"/>
      </bottom>
      <diagonal/>
    </border>
    <border>
      <left style="hair">
        <color rgb="FF81829A"/>
      </left>
      <right/>
      <top style="hair">
        <color rgb="FF81829A"/>
      </top>
      <bottom style="thin">
        <color rgb="FF81829A"/>
      </bottom>
      <diagonal/>
    </border>
    <border>
      <left/>
      <right style="hair">
        <color rgb="FF81829A"/>
      </right>
      <top style="hair">
        <color rgb="FF81829A"/>
      </top>
      <bottom style="hair">
        <color rgb="FF81829A"/>
      </bottom>
      <diagonal/>
    </border>
    <border>
      <left/>
      <right style="hair">
        <color rgb="FF81829A"/>
      </right>
      <top style="hair">
        <color rgb="FF81829A"/>
      </top>
      <bottom style="thin">
        <color rgb="FF81829A"/>
      </bottom>
      <diagonal/>
    </border>
    <border>
      <left style="thin">
        <color rgb="FF81829A"/>
      </left>
      <right/>
      <top style="hair">
        <color rgb="FF81829A"/>
      </top>
      <bottom style="hair">
        <color rgb="FF81829A"/>
      </bottom>
      <diagonal/>
    </border>
    <border>
      <left style="thin">
        <color rgb="FF81829A"/>
      </left>
      <right/>
      <top style="hair">
        <color rgb="FF81829A"/>
      </top>
      <bottom style="thin">
        <color rgb="FF81829A"/>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thin">
        <color indexed="64"/>
      </left>
      <right style="thin">
        <color indexed="64"/>
      </right>
      <top style="medium">
        <color indexed="64"/>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0"/>
      </left>
      <right style="thin">
        <color theme="0"/>
      </right>
      <top/>
      <bottom style="thin">
        <color theme="0"/>
      </bottom>
      <diagonal/>
    </border>
    <border>
      <left style="dashed">
        <color indexed="64"/>
      </left>
      <right style="dashed">
        <color indexed="64"/>
      </right>
      <top style="dashed">
        <color indexed="64"/>
      </top>
      <bottom style="dashed">
        <color indexed="64"/>
      </bottom>
      <diagonal/>
    </border>
    <border>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diagonal/>
    </border>
    <border>
      <left style="dotted">
        <color indexed="64"/>
      </left>
      <right/>
      <top style="medium">
        <color indexed="64"/>
      </top>
      <bottom style="dotted">
        <color indexed="64"/>
      </bottom>
      <diagonal/>
    </border>
    <border>
      <left style="dotted">
        <color indexed="64"/>
      </left>
      <right/>
      <top/>
      <bottom style="dotted">
        <color indexed="64"/>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hair">
        <color indexed="64"/>
      </left>
      <right style="hair">
        <color indexed="64"/>
      </right>
      <top style="thin">
        <color indexed="64"/>
      </top>
      <bottom style="medium">
        <color indexed="64"/>
      </bottom>
      <diagonal/>
    </border>
    <border>
      <left/>
      <right style="thin">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diagonal/>
    </border>
  </borders>
  <cellStyleXfs count="7">
    <xf numFmtId="0" fontId="0" fillId="0" borderId="0"/>
    <xf numFmtId="0" fontId="1" fillId="4" borderId="0"/>
    <xf numFmtId="0" fontId="2" fillId="0" borderId="0" applyNumberFormat="0" applyFill="0" applyBorder="0" applyAlignment="0" applyProtection="0">
      <alignment vertical="top"/>
      <protection locked="0"/>
    </xf>
    <xf numFmtId="0" fontId="7" fillId="0" borderId="0"/>
    <xf numFmtId="0" fontId="3" fillId="0" borderId="0"/>
    <xf numFmtId="0" fontId="9" fillId="0" borderId="0"/>
    <xf numFmtId="9" fontId="39" fillId="0" borderId="0" applyFont="0" applyFill="0" applyBorder="0" applyAlignment="0" applyProtection="0"/>
  </cellStyleXfs>
  <cellXfs count="693">
    <xf numFmtId="0" fontId="0" fillId="0" borderId="0" xfId="0"/>
    <xf numFmtId="0" fontId="5" fillId="0" borderId="0" xfId="0" applyFont="1" applyAlignment="1">
      <alignment vertical="center"/>
    </xf>
    <xf numFmtId="0" fontId="0" fillId="0" borderId="0" xfId="0" applyAlignment="1">
      <alignment horizontal="center"/>
    </xf>
    <xf numFmtId="0" fontId="0" fillId="0" borderId="0" xfId="0" applyAlignment="1">
      <alignment horizontal="left"/>
    </xf>
    <xf numFmtId="0" fontId="10" fillId="0" borderId="0" xfId="4" applyFont="1"/>
    <xf numFmtId="0" fontId="10" fillId="0" borderId="32" xfId="4" applyFont="1" applyBorder="1"/>
    <xf numFmtId="0" fontId="13" fillId="0" borderId="0" xfId="4" applyFont="1" applyAlignment="1">
      <alignment horizontal="left" vertical="center" wrapText="1"/>
    </xf>
    <xf numFmtId="0" fontId="10" fillId="0" borderId="0" xfId="4" applyFont="1" applyAlignment="1">
      <alignment horizontal="left" vertical="center" wrapText="1"/>
    </xf>
    <xf numFmtId="0" fontId="10" fillId="0" borderId="0" xfId="4" quotePrefix="1" applyFont="1" applyAlignment="1">
      <alignment horizontal="left" vertical="center" wrapText="1"/>
    </xf>
    <xf numFmtId="0" fontId="15" fillId="0" borderId="0" xfId="0" applyFont="1" applyAlignment="1">
      <alignment horizontal="left" vertical="center" wrapText="1"/>
    </xf>
    <xf numFmtId="0" fontId="17" fillId="0" borderId="0" xfId="0" applyFont="1" applyAlignment="1">
      <alignment horizontal="left" vertical="top" wrapText="1"/>
    </xf>
    <xf numFmtId="0" fontId="15" fillId="0" borderId="0" xfId="5" applyFont="1" applyAlignment="1">
      <alignment horizontal="left" vertical="top" wrapText="1" readingOrder="1"/>
    </xf>
    <xf numFmtId="0" fontId="20" fillId="2" borderId="0" xfId="0" applyFont="1" applyFill="1"/>
    <xf numFmtId="1" fontId="20" fillId="2" borderId="0" xfId="0" applyNumberFormat="1" applyFont="1" applyFill="1" applyAlignment="1">
      <alignment horizontal="center" vertical="center"/>
    </xf>
    <xf numFmtId="0" fontId="20" fillId="2" borderId="0" xfId="0" applyFont="1" applyFill="1" applyAlignment="1">
      <alignment horizontal="justify" vertical="center" wrapText="1"/>
    </xf>
    <xf numFmtId="0" fontId="15" fillId="2" borderId="12" xfId="0" applyFont="1" applyFill="1" applyBorder="1" applyAlignment="1">
      <alignment vertical="center"/>
    </xf>
    <xf numFmtId="0" fontId="22" fillId="2" borderId="0" xfId="2" applyFont="1" applyFill="1" applyAlignment="1" applyProtection="1">
      <alignment horizontal="center" vertical="center"/>
    </xf>
    <xf numFmtId="0" fontId="23" fillId="2" borderId="0" xfId="0" applyFont="1" applyFill="1" applyAlignment="1">
      <alignment horizontal="center" vertical="center"/>
    </xf>
    <xf numFmtId="0" fontId="23" fillId="0" borderId="0" xfId="0" applyFont="1" applyAlignment="1" applyProtection="1">
      <alignment vertical="center" wrapText="1"/>
      <protection locked="0"/>
    </xf>
    <xf numFmtId="0" fontId="20" fillId="0" borderId="0" xfId="0" applyFont="1"/>
    <xf numFmtId="0" fontId="20" fillId="0" borderId="10" xfId="0" applyFont="1" applyBorder="1" applyAlignment="1">
      <alignment horizontal="left" vertical="center" wrapText="1"/>
    </xf>
    <xf numFmtId="0" fontId="20" fillId="0" borderId="29"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Alignment="1">
      <alignment vertical="center"/>
    </xf>
    <xf numFmtId="0" fontId="27" fillId="12" borderId="30" xfId="0" applyFont="1" applyFill="1" applyBorder="1" applyAlignment="1">
      <alignment horizontal="center" vertical="center" wrapText="1"/>
    </xf>
    <xf numFmtId="0" fontId="27" fillId="12" borderId="31" xfId="0" applyFont="1" applyFill="1" applyBorder="1" applyAlignment="1">
      <alignment horizontal="center" vertical="center" wrapText="1"/>
    </xf>
    <xf numFmtId="0" fontId="0" fillId="2" borderId="54" xfId="0" applyFill="1" applyBorder="1"/>
    <xf numFmtId="0" fontId="0" fillId="2" borderId="55" xfId="0" applyFill="1" applyBorder="1"/>
    <xf numFmtId="0" fontId="0" fillId="2" borderId="56" xfId="0" applyFill="1" applyBorder="1"/>
    <xf numFmtId="0" fontId="0" fillId="2" borderId="57" xfId="0" applyFill="1" applyBorder="1"/>
    <xf numFmtId="0" fontId="0" fillId="2" borderId="0" xfId="0" applyFill="1"/>
    <xf numFmtId="0" fontId="0" fillId="2" borderId="58" xfId="0" applyFill="1" applyBorder="1"/>
    <xf numFmtId="0" fontId="6" fillId="2" borderId="32" xfId="0" applyFont="1" applyFill="1" applyBorder="1" applyAlignment="1">
      <alignment horizontal="center" vertical="center"/>
    </xf>
    <xf numFmtId="0" fontId="6" fillId="2" borderId="58"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vertical="center"/>
    </xf>
    <xf numFmtId="0" fontId="8" fillId="2" borderId="0" xfId="0" applyFont="1" applyFill="1"/>
    <xf numFmtId="0" fontId="0" fillId="2" borderId="59" xfId="0" applyFill="1" applyBorder="1"/>
    <xf numFmtId="0" fontId="0" fillId="2" borderId="60" xfId="0" applyFill="1" applyBorder="1"/>
    <xf numFmtId="0" fontId="0" fillId="2" borderId="61" xfId="0" applyFill="1" applyBorder="1"/>
    <xf numFmtId="0" fontId="17" fillId="2" borderId="12" xfId="0" applyFont="1" applyFill="1" applyBorder="1" applyAlignment="1">
      <alignment vertical="center" wrapText="1"/>
    </xf>
    <xf numFmtId="1" fontId="29" fillId="2" borderId="0" xfId="3" applyNumberFormat="1" applyFont="1" applyFill="1" applyAlignment="1" applyProtection="1">
      <alignment vertical="center"/>
      <protection locked="0"/>
    </xf>
    <xf numFmtId="49" fontId="29" fillId="2" borderId="0" xfId="3" applyNumberFormat="1" applyFont="1" applyFill="1" applyAlignment="1" applyProtection="1">
      <alignment vertical="center"/>
      <protection locked="0"/>
    </xf>
    <xf numFmtId="0" fontId="29" fillId="2" borderId="0" xfId="3" applyFont="1" applyFill="1" applyAlignment="1" applyProtection="1">
      <alignment vertical="center"/>
      <protection locked="0"/>
    </xf>
    <xf numFmtId="0" fontId="31" fillId="2" borderId="0" xfId="0" applyFont="1" applyFill="1" applyAlignment="1" applyProtection="1">
      <alignment vertical="center" wrapText="1"/>
      <protection locked="0"/>
    </xf>
    <xf numFmtId="0" fontId="29" fillId="2" borderId="0" xfId="0" applyFont="1" applyFill="1"/>
    <xf numFmtId="0" fontId="24" fillId="2" borderId="0" xfId="0" applyFont="1" applyFill="1"/>
    <xf numFmtId="0" fontId="30" fillId="2" borderId="84" xfId="3" applyFont="1" applyFill="1" applyBorder="1" applyAlignment="1">
      <alignment horizontal="center" vertical="center" wrapText="1"/>
    </xf>
    <xf numFmtId="0" fontId="30" fillId="2" borderId="86" xfId="3" applyFont="1" applyFill="1" applyBorder="1" applyAlignment="1">
      <alignment horizontal="center" vertical="center" wrapText="1"/>
    </xf>
    <xf numFmtId="0" fontId="6" fillId="0" borderId="73" xfId="0" applyFont="1" applyBorder="1" applyAlignment="1">
      <alignment vertical="center"/>
    </xf>
    <xf numFmtId="0" fontId="0" fillId="0" borderId="73" xfId="0" applyBorder="1"/>
    <xf numFmtId="0" fontId="29" fillId="2" borderId="1" xfId="3" applyFont="1" applyFill="1" applyBorder="1" applyAlignment="1" applyProtection="1">
      <alignment vertical="center"/>
      <protection locked="0"/>
    </xf>
    <xf numFmtId="9" fontId="6" fillId="0" borderId="0" xfId="0" applyNumberFormat="1" applyFont="1" applyAlignment="1">
      <alignment vertical="center"/>
    </xf>
    <xf numFmtId="0" fontId="24" fillId="2" borderId="0" xfId="0" applyFont="1" applyFill="1" applyAlignment="1">
      <alignment vertical="center"/>
    </xf>
    <xf numFmtId="0" fontId="20" fillId="2" borderId="0" xfId="0" applyFont="1" applyFill="1" applyAlignment="1">
      <alignment vertical="center"/>
    </xf>
    <xf numFmtId="0" fontId="38" fillId="2" borderId="0" xfId="0" applyFont="1" applyFill="1"/>
    <xf numFmtId="0" fontId="37" fillId="2" borderId="0" xfId="0" applyFont="1" applyFill="1" applyAlignment="1">
      <alignment wrapText="1"/>
    </xf>
    <xf numFmtId="49" fontId="0" fillId="2" borderId="0" xfId="0" applyNumberFormat="1" applyFill="1" applyAlignment="1">
      <alignment horizontal="left" vertical="top" wrapText="1"/>
    </xf>
    <xf numFmtId="0" fontId="6" fillId="0" borderId="0" xfId="0" applyFont="1" applyAlignment="1">
      <alignment horizontal="left" vertical="center"/>
    </xf>
    <xf numFmtId="0" fontId="6" fillId="0" borderId="0" xfId="0" applyFont="1" applyAlignment="1">
      <alignment vertical="center"/>
    </xf>
    <xf numFmtId="0" fontId="0" fillId="0" borderId="88" xfId="0" applyBorder="1"/>
    <xf numFmtId="0" fontId="42" fillId="2" borderId="0" xfId="0" applyFont="1" applyFill="1" applyAlignment="1">
      <alignment horizontal="center" vertical="center"/>
    </xf>
    <xf numFmtId="0" fontId="40" fillId="2" borderId="0" xfId="0" applyFont="1" applyFill="1" applyAlignment="1">
      <alignment horizontal="center" vertical="center"/>
    </xf>
    <xf numFmtId="0" fontId="10" fillId="0" borderId="0" xfId="4" applyFont="1" applyAlignment="1">
      <alignment vertical="top" wrapText="1"/>
    </xf>
    <xf numFmtId="0" fontId="10" fillId="0" borderId="121" xfId="4" applyFont="1" applyBorder="1"/>
    <xf numFmtId="0" fontId="10" fillId="0" borderId="122" xfId="4" applyFont="1" applyBorder="1"/>
    <xf numFmtId="0" fontId="10" fillId="0" borderId="123" xfId="4" applyFont="1" applyBorder="1"/>
    <xf numFmtId="0" fontId="10" fillId="0" borderId="124" xfId="4" applyFont="1" applyBorder="1"/>
    <xf numFmtId="0" fontId="10" fillId="0" borderId="121" xfId="4" applyFont="1" applyBorder="1" applyAlignment="1">
      <alignment vertical="top" wrapText="1"/>
    </xf>
    <xf numFmtId="0" fontId="10" fillId="0" borderId="122" xfId="4" applyFont="1" applyBorder="1" applyAlignment="1">
      <alignment vertical="top" wrapText="1"/>
    </xf>
    <xf numFmtId="0" fontId="10" fillId="0" borderId="125" xfId="4" applyFont="1" applyBorder="1"/>
    <xf numFmtId="0" fontId="10" fillId="0" borderId="126" xfId="4" applyFont="1" applyBorder="1"/>
    <xf numFmtId="0" fontId="10" fillId="0" borderId="127" xfId="4" applyFont="1" applyBorder="1"/>
    <xf numFmtId="0" fontId="29" fillId="2" borderId="4" xfId="3" applyFont="1" applyFill="1" applyBorder="1" applyAlignment="1" applyProtection="1">
      <alignment vertical="center"/>
      <protection locked="0"/>
    </xf>
    <xf numFmtId="0" fontId="23" fillId="3" borderId="0" xfId="0" applyFont="1" applyFill="1" applyAlignment="1">
      <alignment horizontal="center" vertical="center" wrapText="1"/>
    </xf>
    <xf numFmtId="0" fontId="29" fillId="0" borderId="1" xfId="3" applyFont="1" applyBorder="1" applyAlignment="1" applyProtection="1">
      <alignment vertical="center"/>
      <protection locked="0"/>
    </xf>
    <xf numFmtId="0" fontId="35" fillId="0" borderId="0" xfId="3" applyFont="1" applyAlignment="1" applyProtection="1">
      <alignment vertical="center"/>
      <protection locked="0"/>
    </xf>
    <xf numFmtId="0" fontId="31" fillId="0" borderId="0" xfId="0" applyFont="1" applyAlignment="1" applyProtection="1">
      <alignment vertical="center" wrapText="1"/>
      <protection locked="0"/>
    </xf>
    <xf numFmtId="0" fontId="35" fillId="0" borderId="0" xfId="0" applyFont="1"/>
    <xf numFmtId="0" fontId="29" fillId="0" borderId="3" xfId="3" applyFont="1" applyBorder="1" applyAlignment="1" applyProtection="1">
      <alignment vertical="center"/>
      <protection locked="0"/>
    </xf>
    <xf numFmtId="2" fontId="24" fillId="2" borderId="0" xfId="0" applyNumberFormat="1" applyFont="1" applyFill="1"/>
    <xf numFmtId="0" fontId="24" fillId="0" borderId="0" xfId="0" applyFont="1"/>
    <xf numFmtId="2" fontId="24" fillId="0" borderId="0" xfId="0" applyNumberFormat="1" applyFont="1"/>
    <xf numFmtId="167" fontId="24" fillId="0" borderId="0" xfId="0" applyNumberFormat="1" applyFont="1"/>
    <xf numFmtId="0" fontId="18" fillId="0" borderId="13" xfId="0" applyFont="1" applyBorder="1" applyAlignment="1">
      <alignment horizontal="left" vertical="center" wrapText="1"/>
    </xf>
    <xf numFmtId="0" fontId="21"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21"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43" fillId="16" borderId="1" xfId="3" applyFont="1" applyFill="1" applyBorder="1" applyAlignment="1" applyProtection="1">
      <alignment horizontal="center" vertical="center" wrapText="1"/>
      <protection locked="0"/>
    </xf>
    <xf numFmtId="0" fontId="43" fillId="15" borderId="1" xfId="3" applyFont="1" applyFill="1" applyBorder="1" applyAlignment="1" applyProtection="1">
      <alignment horizontal="center" vertical="center" wrapText="1"/>
      <protection locked="0"/>
    </xf>
    <xf numFmtId="0" fontId="43" fillId="14" borderId="1" xfId="3" applyFont="1" applyFill="1" applyBorder="1" applyAlignment="1" applyProtection="1">
      <alignment horizontal="center" vertical="center" wrapText="1"/>
      <protection locked="0"/>
    </xf>
    <xf numFmtId="0" fontId="43" fillId="13" borderId="1" xfId="3" applyFont="1" applyFill="1" applyBorder="1" applyAlignment="1" applyProtection="1">
      <alignment horizontal="center" vertical="center" wrapText="1"/>
      <protection locked="0"/>
    </xf>
    <xf numFmtId="0" fontId="18" fillId="2" borderId="0" xfId="0" applyFont="1" applyFill="1"/>
    <xf numFmtId="1" fontId="45" fillId="2" borderId="0" xfId="3" applyNumberFormat="1" applyFont="1" applyFill="1" applyAlignment="1" applyProtection="1">
      <alignment vertical="center"/>
      <protection locked="0"/>
    </xf>
    <xf numFmtId="49" fontId="45" fillId="2" borderId="0" xfId="3" applyNumberFormat="1" applyFont="1" applyFill="1" applyAlignment="1" applyProtection="1">
      <alignment vertical="center"/>
      <protection locked="0"/>
    </xf>
    <xf numFmtId="0" fontId="45" fillId="2" borderId="0" xfId="3" applyFont="1" applyFill="1" applyAlignment="1" applyProtection="1">
      <alignment vertical="center"/>
      <protection locked="0"/>
    </xf>
    <xf numFmtId="0" fontId="46" fillId="0" borderId="0" xfId="3" applyFont="1" applyAlignment="1" applyProtection="1">
      <alignment vertical="center"/>
      <protection locked="0"/>
    </xf>
    <xf numFmtId="0" fontId="29" fillId="2" borderId="143" xfId="3" applyFont="1" applyFill="1" applyBorder="1" applyAlignment="1" applyProtection="1">
      <alignment vertical="center"/>
      <protection locked="0"/>
    </xf>
    <xf numFmtId="0" fontId="29" fillId="2" borderId="3" xfId="3" applyFont="1" applyFill="1" applyBorder="1" applyAlignment="1" applyProtection="1">
      <alignment vertical="center"/>
      <protection locked="0"/>
    </xf>
    <xf numFmtId="0" fontId="14" fillId="19" borderId="1" xfId="0" applyFont="1" applyFill="1" applyBorder="1" applyAlignment="1">
      <alignment horizontal="center" vertical="center"/>
    </xf>
    <xf numFmtId="0" fontId="18" fillId="19" borderId="1" xfId="0" applyFont="1" applyFill="1" applyBorder="1" applyAlignment="1">
      <alignment horizontal="center" vertical="center"/>
    </xf>
    <xf numFmtId="0" fontId="50" fillId="0" borderId="0" xfId="0" applyFont="1" applyAlignment="1">
      <alignment horizontal="center" wrapText="1"/>
    </xf>
    <xf numFmtId="0" fontId="40" fillId="6"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2" fontId="51" fillId="2" borderId="0" xfId="0" applyNumberFormat="1" applyFont="1" applyFill="1"/>
    <xf numFmtId="2" fontId="51" fillId="0" borderId="0" xfId="0" applyNumberFormat="1" applyFont="1"/>
    <xf numFmtId="0" fontId="51" fillId="2" borderId="0" xfId="0" applyFont="1" applyFill="1"/>
    <xf numFmtId="0" fontId="21" fillId="2" borderId="107"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10"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9" fontId="21" fillId="0" borderId="3" xfId="6" applyFont="1" applyFill="1" applyBorder="1" applyAlignment="1" applyProtection="1">
      <alignment horizontal="center" vertical="center"/>
      <protection hidden="1"/>
    </xf>
    <xf numFmtId="9" fontId="21" fillId="0" borderId="1" xfId="6" applyFont="1" applyFill="1" applyBorder="1" applyAlignment="1" applyProtection="1">
      <alignment horizontal="center" vertical="center"/>
      <protection hidden="1"/>
    </xf>
    <xf numFmtId="0" fontId="30" fillId="2" borderId="132" xfId="3" applyFont="1" applyFill="1" applyBorder="1" applyAlignment="1" applyProtection="1">
      <alignment horizontal="center" vertical="center" wrapText="1"/>
      <protection hidden="1"/>
    </xf>
    <xf numFmtId="0" fontId="20" fillId="2" borderId="81" xfId="3" applyFont="1" applyFill="1" applyBorder="1" applyAlignment="1" applyProtection="1">
      <alignment horizontal="center" vertical="center" wrapText="1"/>
      <protection hidden="1"/>
    </xf>
    <xf numFmtId="0" fontId="30" fillId="2" borderId="82" xfId="3" applyFont="1" applyFill="1" applyBorder="1" applyAlignment="1" applyProtection="1">
      <alignment horizontal="center" vertical="center" wrapText="1"/>
      <protection hidden="1"/>
    </xf>
    <xf numFmtId="0" fontId="30" fillId="2" borderId="82" xfId="3" applyFont="1" applyFill="1" applyBorder="1" applyAlignment="1" applyProtection="1">
      <alignment horizontal="left" vertical="top" wrapText="1"/>
      <protection hidden="1"/>
    </xf>
    <xf numFmtId="1" fontId="30" fillId="2" borderId="82" xfId="3" applyNumberFormat="1" applyFont="1" applyFill="1" applyBorder="1" applyAlignment="1" applyProtection="1">
      <alignment horizontal="center" vertical="center" wrapText="1"/>
      <protection hidden="1"/>
    </xf>
    <xf numFmtId="0" fontId="30" fillId="2" borderId="102" xfId="3" applyFont="1" applyFill="1" applyBorder="1" applyAlignment="1" applyProtection="1">
      <alignment horizontal="center" vertical="center" wrapText="1"/>
      <protection hidden="1"/>
    </xf>
    <xf numFmtId="1" fontId="20" fillId="2" borderId="83" xfId="3" applyNumberFormat="1" applyFont="1" applyFill="1" applyBorder="1" applyAlignment="1" applyProtection="1">
      <alignment horizontal="center" vertical="center" wrapText="1"/>
      <protection hidden="1"/>
    </xf>
    <xf numFmtId="0" fontId="30" fillId="2" borderId="84" xfId="3" applyFont="1" applyFill="1" applyBorder="1" applyAlignment="1" applyProtection="1">
      <alignment horizontal="center" vertical="center" wrapText="1"/>
      <protection hidden="1"/>
    </xf>
    <xf numFmtId="0" fontId="30" fillId="2" borderId="84" xfId="3" applyFont="1" applyFill="1" applyBorder="1" applyAlignment="1" applyProtection="1">
      <alignment horizontal="left" vertical="top" wrapText="1"/>
      <protection hidden="1"/>
    </xf>
    <xf numFmtId="0" fontId="30" fillId="2" borderId="103" xfId="3" applyFont="1" applyFill="1" applyBorder="1" applyAlignment="1" applyProtection="1">
      <alignment horizontal="center" vertical="center" wrapText="1"/>
      <protection hidden="1"/>
    </xf>
    <xf numFmtId="0" fontId="20" fillId="2" borderId="83" xfId="3" applyFont="1" applyFill="1" applyBorder="1" applyAlignment="1" applyProtection="1">
      <alignment horizontal="center" vertical="center" wrapText="1"/>
      <protection hidden="1"/>
    </xf>
    <xf numFmtId="1" fontId="20" fillId="2" borderId="85" xfId="3" applyNumberFormat="1" applyFont="1" applyFill="1" applyBorder="1" applyAlignment="1" applyProtection="1">
      <alignment horizontal="center" vertical="center" wrapText="1"/>
      <protection hidden="1"/>
    </xf>
    <xf numFmtId="0" fontId="30" fillId="2" borderId="86" xfId="3" applyFont="1" applyFill="1" applyBorder="1" applyAlignment="1" applyProtection="1">
      <alignment horizontal="center" vertical="center" wrapText="1"/>
      <protection hidden="1"/>
    </xf>
    <xf numFmtId="0" fontId="30" fillId="2" borderId="86" xfId="3" applyFont="1" applyFill="1" applyBorder="1" applyAlignment="1" applyProtection="1">
      <alignment horizontal="left" vertical="top" wrapText="1"/>
      <protection hidden="1"/>
    </xf>
    <xf numFmtId="0" fontId="30" fillId="2" borderId="133" xfId="3" applyFont="1" applyFill="1" applyBorder="1" applyAlignment="1" applyProtection="1">
      <alignment horizontal="center" vertical="center" wrapText="1"/>
      <protection hidden="1"/>
    </xf>
    <xf numFmtId="0" fontId="32" fillId="3" borderId="19" xfId="3" applyFont="1" applyFill="1" applyBorder="1" applyAlignment="1">
      <alignment horizontal="center" vertical="center"/>
    </xf>
    <xf numFmtId="0" fontId="32" fillId="3" borderId="12" xfId="3" applyFont="1" applyFill="1" applyBorder="1" applyAlignment="1">
      <alignment horizontal="center" vertical="center" wrapText="1"/>
    </xf>
    <xf numFmtId="0" fontId="33" fillId="18" borderId="69" xfId="3" applyFont="1" applyFill="1" applyBorder="1" applyAlignment="1">
      <alignment horizontal="center" vertical="center"/>
    </xf>
    <xf numFmtId="0" fontId="33" fillId="18" borderId="142" xfId="3" applyFont="1" applyFill="1" applyBorder="1" applyAlignment="1">
      <alignment horizontal="center" vertical="center"/>
    </xf>
    <xf numFmtId="0" fontId="29" fillId="2" borderId="0" xfId="3" applyFont="1" applyFill="1" applyAlignment="1" applyProtection="1">
      <alignment vertical="center"/>
      <protection hidden="1"/>
    </xf>
    <xf numFmtId="9" fontId="10" fillId="2" borderId="0" xfId="3" applyNumberFormat="1" applyFont="1" applyFill="1" applyAlignment="1" applyProtection="1">
      <alignment vertical="center"/>
      <protection hidden="1"/>
    </xf>
    <xf numFmtId="9" fontId="35" fillId="2" borderId="0" xfId="6" applyFont="1" applyFill="1" applyAlignment="1" applyProtection="1">
      <alignment vertical="center"/>
      <protection hidden="1"/>
    </xf>
    <xf numFmtId="9" fontId="35" fillId="2" borderId="0" xfId="3" applyNumberFormat="1" applyFont="1" applyFill="1" applyAlignment="1" applyProtection="1">
      <alignment vertical="center"/>
      <protection hidden="1"/>
    </xf>
    <xf numFmtId="0" fontId="10" fillId="2" borderId="0" xfId="3" applyFont="1" applyFill="1" applyAlignment="1" applyProtection="1">
      <alignment vertical="center"/>
      <protection hidden="1"/>
    </xf>
    <xf numFmtId="9" fontId="49" fillId="3" borderId="97" xfId="0" applyNumberFormat="1" applyFont="1" applyFill="1" applyBorder="1" applyAlignment="1" applyProtection="1">
      <alignment horizontal="center" vertical="center"/>
      <protection hidden="1"/>
    </xf>
    <xf numFmtId="49" fontId="53" fillId="2" borderId="47" xfId="0" applyNumberFormat="1" applyFont="1" applyFill="1" applyBorder="1" applyAlignment="1" applyProtection="1">
      <alignment horizontal="center" vertical="center" wrapText="1"/>
      <protection locked="0"/>
    </xf>
    <xf numFmtId="0" fontId="14" fillId="0" borderId="0" xfId="3" applyFont="1" applyAlignment="1" applyProtection="1">
      <alignment vertical="center"/>
      <protection hidden="1"/>
    </xf>
    <xf numFmtId="0" fontId="18" fillId="0" borderId="0" xfId="3" applyFont="1" applyAlignment="1" applyProtection="1">
      <alignment vertical="center" wrapText="1"/>
      <protection hidden="1"/>
    </xf>
    <xf numFmtId="0" fontId="0" fillId="0" borderId="0" xfId="0" applyProtection="1">
      <protection hidden="1"/>
    </xf>
    <xf numFmtId="0" fontId="14" fillId="0" borderId="0" xfId="3" applyFont="1" applyAlignment="1" applyProtection="1">
      <alignment vertical="center" wrapText="1"/>
      <protection hidden="1"/>
    </xf>
    <xf numFmtId="0" fontId="34" fillId="0" borderId="0" xfId="0" applyFont="1" applyProtection="1">
      <protection hidden="1"/>
    </xf>
    <xf numFmtId="0" fontId="14" fillId="10" borderId="1" xfId="3" applyFont="1" applyFill="1" applyBorder="1" applyAlignment="1" applyProtection="1">
      <alignment horizontal="center" vertical="center" wrapText="1"/>
      <protection locked="0"/>
    </xf>
    <xf numFmtId="0" fontId="10" fillId="0" borderId="121" xfId="4" applyFont="1" applyBorder="1" applyAlignment="1">
      <alignment horizontal="left" vertical="top"/>
    </xf>
    <xf numFmtId="0" fontId="10" fillId="0" borderId="122" xfId="4" applyFont="1" applyBorder="1" applyAlignment="1">
      <alignment horizontal="left" vertical="top"/>
    </xf>
    <xf numFmtId="0" fontId="20" fillId="2" borderId="12"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14" fillId="19" borderId="1" xfId="0" applyFont="1" applyFill="1" applyBorder="1" applyAlignment="1">
      <alignment horizontal="center" vertical="center" wrapText="1"/>
    </xf>
    <xf numFmtId="0" fontId="20" fillId="2" borderId="0" xfId="0" applyFont="1" applyFill="1" applyAlignment="1">
      <alignment horizontal="center"/>
    </xf>
    <xf numFmtId="164" fontId="20" fillId="2" borderId="0" xfId="0" applyNumberFormat="1" applyFont="1" applyFill="1" applyAlignment="1">
      <alignment horizontal="center"/>
    </xf>
    <xf numFmtId="0" fontId="23" fillId="3" borderId="25"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protection locked="0"/>
    </xf>
    <xf numFmtId="0" fontId="20" fillId="2" borderId="134" xfId="0" applyFont="1" applyFill="1" applyBorder="1" applyAlignment="1" applyProtection="1">
      <alignment horizontal="left" vertical="center" wrapText="1"/>
      <protection locked="0"/>
    </xf>
    <xf numFmtId="0" fontId="20" fillId="2" borderId="106"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0" fontId="20" fillId="2" borderId="0" xfId="0" applyFont="1" applyFill="1" applyAlignment="1" applyProtection="1">
      <alignment wrapText="1"/>
      <protection locked="0"/>
    </xf>
    <xf numFmtId="0" fontId="20" fillId="2" borderId="17" xfId="0" applyFont="1" applyFill="1" applyBorder="1" applyAlignment="1" applyProtection="1">
      <alignment vertical="center" wrapText="1"/>
      <protection locked="0"/>
    </xf>
    <xf numFmtId="0" fontId="0" fillId="2" borderId="0" xfId="0" applyFill="1" applyAlignment="1">
      <alignment horizontal="center"/>
    </xf>
    <xf numFmtId="0" fontId="0" fillId="2" borderId="55" xfId="0" applyFill="1" applyBorder="1" applyAlignment="1">
      <alignment horizontal="center"/>
    </xf>
    <xf numFmtId="0" fontId="38" fillId="2" borderId="0" xfId="0" applyFont="1" applyFill="1" applyAlignment="1">
      <alignment horizontal="center"/>
    </xf>
    <xf numFmtId="0" fontId="0" fillId="2" borderId="60" xfId="0" applyFill="1" applyBorder="1" applyAlignment="1">
      <alignment horizontal="center"/>
    </xf>
    <xf numFmtId="0" fontId="57" fillId="2" borderId="57" xfId="0" applyFont="1" applyFill="1" applyBorder="1"/>
    <xf numFmtId="0" fontId="58" fillId="2" borderId="0" xfId="0" applyFont="1" applyFill="1" applyAlignment="1">
      <alignment wrapText="1"/>
    </xf>
    <xf numFmtId="0" fontId="57" fillId="2" borderId="0" xfId="0" applyFont="1" applyFill="1"/>
    <xf numFmtId="0" fontId="21" fillId="2" borderId="33" xfId="0" applyFont="1" applyFill="1" applyBorder="1" applyAlignment="1" applyProtection="1">
      <alignment horizontal="center" vertical="center"/>
      <protection locked="0"/>
    </xf>
    <xf numFmtId="0" fontId="20" fillId="2" borderId="107" xfId="0" applyFont="1" applyFill="1" applyBorder="1" applyAlignment="1" applyProtection="1">
      <alignment horizontal="left" vertical="center"/>
      <protection locked="0"/>
    </xf>
    <xf numFmtId="0" fontId="60" fillId="3" borderId="1" xfId="0" applyFont="1" applyFill="1" applyBorder="1" applyAlignment="1">
      <alignment horizontal="center" vertical="center"/>
    </xf>
    <xf numFmtId="0" fontId="62" fillId="0" borderId="1" xfId="0" applyFont="1" applyBorder="1" applyAlignment="1" applyProtection="1">
      <alignment horizontal="center" vertical="center"/>
      <protection hidden="1"/>
    </xf>
    <xf numFmtId="0" fontId="50" fillId="0" borderId="0" xfId="0" applyFont="1" applyAlignment="1">
      <alignment horizontal="center"/>
    </xf>
    <xf numFmtId="9" fontId="63" fillId="16" borderId="1" xfId="0" applyNumberFormat="1" applyFont="1" applyFill="1" applyBorder="1" applyAlignment="1" applyProtection="1">
      <alignment horizontal="center" vertical="center"/>
      <protection hidden="1"/>
    </xf>
    <xf numFmtId="0" fontId="50" fillId="0" borderId="1" xfId="0" applyFont="1" applyBorder="1"/>
    <xf numFmtId="9" fontId="63" fillId="16" borderId="1" xfId="0" applyNumberFormat="1" applyFont="1" applyFill="1" applyBorder="1" applyAlignment="1" applyProtection="1">
      <alignment horizontal="center" vertical="center"/>
      <protection locked="0"/>
    </xf>
    <xf numFmtId="0" fontId="50" fillId="0" borderId="88" xfId="0" applyFont="1" applyBorder="1"/>
    <xf numFmtId="9" fontId="62" fillId="0" borderId="1" xfId="0" applyNumberFormat="1" applyFont="1" applyBorder="1" applyAlignment="1" applyProtection="1">
      <alignment horizontal="center" vertical="center"/>
      <protection locked="0"/>
    </xf>
    <xf numFmtId="0" fontId="50" fillId="0" borderId="1" xfId="0" applyFont="1" applyBorder="1" applyAlignment="1">
      <alignment horizontal="left"/>
    </xf>
    <xf numFmtId="0" fontId="64" fillId="17" borderId="48" xfId="0" applyFont="1" applyFill="1" applyBorder="1" applyAlignment="1">
      <alignment horizontal="center" vertical="center" wrapText="1"/>
    </xf>
    <xf numFmtId="0" fontId="55" fillId="0" borderId="0" xfId="0" applyFont="1" applyAlignment="1">
      <alignment horizontal="center" vertical="center" wrapText="1"/>
    </xf>
    <xf numFmtId="0" fontId="64" fillId="17" borderId="97" xfId="0" applyFont="1" applyFill="1" applyBorder="1" applyAlignment="1">
      <alignment horizontal="center" vertical="center" wrapText="1"/>
    </xf>
    <xf numFmtId="0" fontId="66" fillId="2" borderId="0" xfId="0" applyFont="1" applyFill="1" applyAlignment="1">
      <alignment horizontal="center" vertical="center" wrapText="1"/>
    </xf>
    <xf numFmtId="0" fontId="64" fillId="3" borderId="87" xfId="0" applyFont="1" applyFill="1" applyBorder="1" applyAlignment="1">
      <alignment horizontal="center" vertical="center" wrapText="1"/>
    </xf>
    <xf numFmtId="0" fontId="64" fillId="3" borderId="97" xfId="0" applyFont="1" applyFill="1" applyBorder="1" applyAlignment="1">
      <alignment horizontal="center" vertical="center" wrapText="1"/>
    </xf>
    <xf numFmtId="0" fontId="64" fillId="3" borderId="0" xfId="0" applyFont="1" applyFill="1" applyAlignment="1">
      <alignment horizontal="center" vertical="center" wrapText="1"/>
    </xf>
    <xf numFmtId="0" fontId="54" fillId="2" borderId="58" xfId="0" applyFont="1" applyFill="1" applyBorder="1"/>
    <xf numFmtId="0" fontId="67" fillId="0" borderId="111" xfId="0" applyFont="1" applyBorder="1" applyAlignment="1" applyProtection="1">
      <alignment vertical="center" wrapText="1"/>
      <protection locked="0"/>
    </xf>
    <xf numFmtId="0" fontId="57" fillId="0" borderId="111" xfId="0" applyFont="1" applyBorder="1"/>
    <xf numFmtId="0" fontId="57" fillId="0" borderId="111" xfId="0" applyFont="1" applyBorder="1" applyAlignment="1" applyProtection="1">
      <alignment horizontal="left" vertical="center" wrapText="1"/>
      <protection locked="0"/>
    </xf>
    <xf numFmtId="0" fontId="57" fillId="0" borderId="111" xfId="0" applyFont="1" applyBorder="1" applyAlignment="1" applyProtection="1">
      <alignment vertical="center" wrapText="1"/>
      <protection locked="0"/>
    </xf>
    <xf numFmtId="0" fontId="57" fillId="0" borderId="112" xfId="0" applyFont="1" applyBorder="1" applyAlignment="1" applyProtection="1">
      <alignment vertical="center" wrapText="1"/>
      <protection locked="0"/>
    </xf>
    <xf numFmtId="0" fontId="57" fillId="0" borderId="0" xfId="0" applyFont="1" applyAlignment="1">
      <alignment horizontal="center"/>
    </xf>
    <xf numFmtId="0" fontId="57" fillId="0" borderId="0" xfId="0" applyFont="1" applyAlignment="1">
      <alignment horizontal="center" vertical="center"/>
    </xf>
    <xf numFmtId="0" fontId="20" fillId="2" borderId="12" xfId="0" applyFont="1" applyFill="1" applyBorder="1" applyAlignment="1" applyProtection="1">
      <alignmen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0" xfId="0" applyFont="1" applyFill="1" applyProtection="1">
      <protection locked="0"/>
    </xf>
    <xf numFmtId="0" fontId="20" fillId="2" borderId="17" xfId="0" applyFont="1" applyFill="1" applyBorder="1" applyAlignment="1" applyProtection="1">
      <alignment vertical="center"/>
      <protection locked="0"/>
    </xf>
    <xf numFmtId="9" fontId="29" fillId="2" borderId="1" xfId="3" applyNumberFormat="1" applyFont="1" applyFill="1" applyBorder="1" applyAlignment="1" applyProtection="1">
      <alignment vertical="center"/>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wrapText="1"/>
      <protection locked="0"/>
    </xf>
    <xf numFmtId="0" fontId="20" fillId="2" borderId="107" xfId="0" applyFont="1" applyFill="1" applyBorder="1" applyAlignment="1" applyProtection="1">
      <alignment horizontal="left" vertical="center" wrapText="1"/>
      <protection locked="0"/>
    </xf>
    <xf numFmtId="0" fontId="20" fillId="2" borderId="159" xfId="0" applyFont="1" applyFill="1" applyBorder="1" applyAlignment="1" applyProtection="1">
      <alignment horizontal="left" vertical="center" wrapText="1"/>
      <protection locked="0"/>
    </xf>
    <xf numFmtId="0" fontId="18" fillId="19" borderId="69" xfId="0" applyFont="1" applyFill="1" applyBorder="1" applyAlignment="1">
      <alignment horizontal="center" vertical="center"/>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protection locked="0"/>
    </xf>
    <xf numFmtId="0" fontId="20" fillId="2" borderId="12" xfId="0" applyFont="1" applyFill="1" applyBorder="1" applyAlignment="1" applyProtection="1">
      <alignment horizontal="center"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07"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60"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2" xfId="0" applyFont="1" applyFill="1" applyBorder="1" applyAlignment="1" applyProtection="1">
      <alignment vertical="center" wrapText="1"/>
      <protection locked="0"/>
    </xf>
    <xf numFmtId="0" fontId="20" fillId="2" borderId="157" xfId="0" applyFont="1" applyFill="1" applyBorder="1" applyAlignment="1" applyProtection="1">
      <alignment wrapText="1"/>
      <protection locked="0"/>
    </xf>
    <xf numFmtId="0" fontId="21" fillId="2" borderId="74" xfId="0" applyFont="1" applyFill="1" applyBorder="1" applyAlignment="1" applyProtection="1">
      <alignment horizontal="center" vertical="center"/>
      <protection locked="0"/>
    </xf>
    <xf numFmtId="0" fontId="10" fillId="0" borderId="121" xfId="4" quotePrefix="1" applyFont="1" applyBorder="1" applyAlignment="1">
      <alignment horizontal="left" vertical="top" wrapText="1"/>
    </xf>
    <xf numFmtId="0" fontId="10" fillId="0" borderId="0" xfId="4" quotePrefix="1" applyFont="1" applyAlignment="1">
      <alignment horizontal="left" vertical="top" wrapText="1"/>
    </xf>
    <xf numFmtId="0" fontId="10" fillId="0" borderId="122" xfId="4" quotePrefix="1" applyFont="1" applyBorder="1" applyAlignment="1">
      <alignment horizontal="left" vertical="top" wrapText="1"/>
    </xf>
    <xf numFmtId="0" fontId="15" fillId="12" borderId="117" xfId="4" applyFont="1" applyFill="1" applyBorder="1" applyAlignment="1">
      <alignment horizontal="center" vertical="center"/>
    </xf>
    <xf numFmtId="0" fontId="15" fillId="12" borderId="118" xfId="4" applyFont="1" applyFill="1" applyBorder="1" applyAlignment="1">
      <alignment horizontal="center" vertical="center"/>
    </xf>
    <xf numFmtId="0" fontId="17" fillId="0" borderId="115" xfId="4" applyFont="1" applyBorder="1" applyAlignment="1">
      <alignment horizontal="left" vertical="top" wrapText="1"/>
    </xf>
    <xf numFmtId="0" fontId="17" fillId="0" borderId="116" xfId="4" applyFont="1" applyBorder="1" applyAlignment="1">
      <alignment horizontal="left" vertical="top" wrapText="1"/>
    </xf>
    <xf numFmtId="0" fontId="17" fillId="0" borderId="113" xfId="0" applyFont="1" applyBorder="1" applyAlignment="1">
      <alignment horizontal="left" vertical="top" wrapText="1"/>
    </xf>
    <xf numFmtId="0" fontId="17" fillId="0" borderId="114" xfId="0" applyFont="1" applyBorder="1" applyAlignment="1">
      <alignment horizontal="left" vertical="top" wrapText="1"/>
    </xf>
    <xf numFmtId="0" fontId="17" fillId="0" borderId="33" xfId="4" applyFont="1" applyBorder="1" applyAlignment="1">
      <alignment horizontal="left" vertical="top" wrapText="1"/>
    </xf>
    <xf numFmtId="0" fontId="17" fillId="0" borderId="40" xfId="4" applyFont="1" applyBorder="1" applyAlignment="1">
      <alignment horizontal="left" vertical="top" wrapText="1"/>
    </xf>
    <xf numFmtId="0" fontId="15" fillId="2" borderId="37"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36" xfId="5" applyFont="1" applyFill="1" applyBorder="1" applyAlignment="1">
      <alignment horizontal="left" vertical="top" wrapText="1" readingOrder="1"/>
    </xf>
    <xf numFmtId="0" fontId="15" fillId="2" borderId="9" xfId="5" applyFont="1" applyFill="1" applyBorder="1" applyAlignment="1">
      <alignment horizontal="left" vertical="top" wrapText="1" readingOrder="1"/>
    </xf>
    <xf numFmtId="0" fontId="15" fillId="12" borderId="34" xfId="5" applyFont="1" applyFill="1" applyBorder="1" applyAlignment="1">
      <alignment horizontal="center" vertical="center" wrapText="1"/>
    </xf>
    <xf numFmtId="0" fontId="15" fillId="12" borderId="35" xfId="5"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40" xfId="0" applyFont="1" applyBorder="1" applyAlignment="1">
      <alignment horizontal="left" vertical="center" wrapText="1"/>
    </xf>
    <xf numFmtId="0" fontId="17" fillId="0" borderId="1" xfId="3" applyFont="1" applyBorder="1" applyAlignment="1" applyProtection="1">
      <alignment horizontal="center" vertical="center" wrapText="1"/>
      <protection locked="0"/>
    </xf>
    <xf numFmtId="0" fontId="10" fillId="0" borderId="121" xfId="4" applyFont="1" applyBorder="1" applyAlignment="1">
      <alignment horizontal="left" vertical="top"/>
    </xf>
    <xf numFmtId="0" fontId="10" fillId="0" borderId="0" xfId="4" applyFont="1" applyAlignment="1">
      <alignment horizontal="left" vertical="top"/>
    </xf>
    <xf numFmtId="0" fontId="10" fillId="0" borderId="122" xfId="4" applyFont="1" applyBorder="1" applyAlignment="1">
      <alignment horizontal="left" vertical="top"/>
    </xf>
    <xf numFmtId="0" fontId="10" fillId="0" borderId="121" xfId="4" applyFont="1" applyBorder="1" applyAlignment="1">
      <alignment horizontal="left" vertical="top" wrapText="1"/>
    </xf>
    <xf numFmtId="0" fontId="10" fillId="0" borderId="0" xfId="4" applyFont="1" applyAlignment="1">
      <alignment horizontal="left" vertical="top" wrapText="1"/>
    </xf>
    <xf numFmtId="0" fontId="10" fillId="0" borderId="122" xfId="4" applyFont="1" applyBorder="1" applyAlignment="1">
      <alignment horizontal="left" vertical="top" wrapText="1"/>
    </xf>
    <xf numFmtId="0" fontId="10" fillId="0" borderId="0" xfId="4" applyFont="1" applyAlignment="1"/>
    <xf numFmtId="0" fontId="11" fillId="0" borderId="119" xfId="4" applyFont="1" applyBorder="1" applyAlignment="1">
      <alignment horizontal="center" vertical="center" wrapText="1"/>
    </xf>
    <xf numFmtId="0" fontId="11" fillId="0" borderId="95" xfId="4" applyFont="1" applyBorder="1" applyAlignment="1">
      <alignment horizontal="center" vertical="center" wrapText="1"/>
    </xf>
    <xf numFmtId="0" fontId="11" fillId="0" borderId="120" xfId="4" applyFont="1" applyBorder="1" applyAlignment="1">
      <alignment horizontal="center" vertical="center" wrapText="1"/>
    </xf>
    <xf numFmtId="0" fontId="10" fillId="0" borderId="121" xfId="4" quotePrefix="1" applyFont="1" applyBorder="1" applyAlignment="1">
      <alignment horizontal="left" vertical="center" wrapText="1"/>
    </xf>
    <xf numFmtId="0" fontId="10" fillId="0" borderId="0" xfId="4" quotePrefix="1" applyFont="1" applyAlignment="1">
      <alignment horizontal="left" vertical="center" wrapText="1"/>
    </xf>
    <xf numFmtId="0" fontId="10" fillId="0" borderId="122" xfId="4" quotePrefix="1" applyFont="1" applyBorder="1" applyAlignment="1">
      <alignment horizontal="left" vertical="center" wrapText="1"/>
    </xf>
    <xf numFmtId="0" fontId="12" fillId="0" borderId="121" xfId="4" quotePrefix="1" applyFont="1" applyBorder="1" applyAlignment="1">
      <alignment horizontal="left" vertical="top" wrapText="1"/>
    </xf>
    <xf numFmtId="0" fontId="14" fillId="0" borderId="0" xfId="4" quotePrefix="1" applyFont="1" applyAlignment="1">
      <alignment horizontal="left" vertical="top" wrapText="1"/>
    </xf>
    <xf numFmtId="0" fontId="14" fillId="0" borderId="122" xfId="4" quotePrefix="1" applyFont="1" applyBorder="1" applyAlignment="1">
      <alignment horizontal="left" vertical="top" wrapText="1"/>
    </xf>
    <xf numFmtId="0" fontId="28" fillId="0" borderId="101" xfId="3" applyFont="1" applyBorder="1" applyAlignment="1" applyProtection="1">
      <alignment horizontal="center" vertical="center" wrapText="1"/>
      <protection locked="0"/>
    </xf>
    <xf numFmtId="0" fontId="29" fillId="0" borderId="101" xfId="3" applyFont="1" applyBorder="1" applyAlignment="1" applyProtection="1">
      <alignment horizontal="center" vertical="center" wrapText="1"/>
      <protection locked="0"/>
    </xf>
    <xf numFmtId="0" fontId="15" fillId="2" borderId="62" xfId="4" applyFont="1" applyFill="1" applyBorder="1" applyAlignment="1">
      <alignment horizontal="center" vertical="center" textRotation="90"/>
    </xf>
    <xf numFmtId="0" fontId="15" fillId="2" borderId="63" xfId="4" applyFont="1" applyFill="1" applyBorder="1" applyAlignment="1">
      <alignment horizontal="center" vertical="center" textRotation="90"/>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4" fillId="10" borderId="1" xfId="3" applyFont="1" applyFill="1" applyBorder="1" applyAlignment="1" applyProtection="1">
      <alignment horizontal="center" vertical="center" wrapText="1"/>
      <protection locked="0"/>
    </xf>
    <xf numFmtId="0" fontId="27" fillId="12" borderId="0" xfId="0" applyFont="1" applyFill="1" applyAlignment="1" applyProtection="1">
      <alignment horizontal="center" vertical="center" wrapText="1"/>
      <protection locked="0"/>
    </xf>
    <xf numFmtId="2" fontId="24" fillId="2" borderId="0" xfId="0" applyNumberFormat="1" applyFont="1" applyFill="1" applyAlignment="1" applyProtection="1">
      <alignment horizontal="center" vertical="center" wrapText="1"/>
      <protection hidden="1"/>
    </xf>
    <xf numFmtId="0" fontId="20" fillId="10" borderId="22" xfId="0" applyFont="1" applyFill="1" applyBorder="1" applyAlignment="1" applyProtection="1">
      <alignment horizontal="left" vertical="center" wrapText="1"/>
      <protection locked="0"/>
    </xf>
    <xf numFmtId="0" fontId="20" fillId="10" borderId="23" xfId="0" applyFont="1" applyFill="1" applyBorder="1" applyAlignment="1" applyProtection="1">
      <alignment horizontal="left" vertical="center" wrapText="1"/>
      <protection locked="0"/>
    </xf>
    <xf numFmtId="0" fontId="20" fillId="10" borderId="24" xfId="0" applyFont="1" applyFill="1" applyBorder="1" applyAlignment="1" applyProtection="1">
      <alignment horizontal="left" vertical="center" wrapText="1"/>
      <protection locked="0"/>
    </xf>
    <xf numFmtId="0" fontId="20" fillId="20" borderId="22" xfId="0" applyFont="1" applyFill="1" applyBorder="1" applyAlignment="1" applyProtection="1">
      <alignment horizontal="left" vertical="center" wrapText="1"/>
      <protection locked="0"/>
    </xf>
    <xf numFmtId="0" fontId="20" fillId="20" borderId="23" xfId="0" applyFont="1" applyFill="1" applyBorder="1" applyAlignment="1" applyProtection="1">
      <alignment horizontal="left" vertical="center" wrapText="1"/>
      <protection locked="0"/>
    </xf>
    <xf numFmtId="0" fontId="20" fillId="20" borderId="24" xfId="0" applyFont="1" applyFill="1" applyBorder="1" applyAlignment="1" applyProtection="1">
      <alignment horizontal="left" vertical="center" wrapText="1"/>
      <protection locked="0"/>
    </xf>
    <xf numFmtId="165" fontId="24" fillId="2" borderId="0" xfId="0" applyNumberFormat="1" applyFont="1" applyFill="1" applyAlignment="1" applyProtection="1">
      <alignment horizontal="center" vertical="center" wrapText="1"/>
      <protection hidden="1"/>
    </xf>
    <xf numFmtId="166" fontId="24" fillId="2" borderId="0" xfId="0" applyNumberFormat="1" applyFont="1" applyFill="1" applyAlignment="1" applyProtection="1">
      <alignment horizontal="center" vertical="center" wrapText="1"/>
      <protection hidden="1"/>
    </xf>
    <xf numFmtId="2" fontId="23" fillId="2" borderId="0" xfId="0" applyNumberFormat="1" applyFont="1" applyFill="1" applyAlignment="1" applyProtection="1">
      <alignment horizontal="center" vertical="center" textRotation="90" wrapText="1"/>
      <protection hidden="1"/>
    </xf>
    <xf numFmtId="2" fontId="23" fillId="2" borderId="0" xfId="0" applyNumberFormat="1" applyFont="1" applyFill="1" applyAlignment="1">
      <alignment horizontal="center" vertical="center" textRotation="90" wrapText="1"/>
    </xf>
    <xf numFmtId="2" fontId="51" fillId="2" borderId="0" xfId="0" applyNumberFormat="1" applyFont="1" applyFill="1" applyAlignment="1">
      <alignment horizontal="center" vertical="center" wrapText="1"/>
    </xf>
    <xf numFmtId="2" fontId="52" fillId="2" borderId="0" xfId="0" applyNumberFormat="1" applyFont="1" applyFill="1" applyAlignment="1">
      <alignment horizontal="center" vertical="center" textRotation="90" wrapText="1"/>
    </xf>
    <xf numFmtId="165" fontId="51" fillId="2" borderId="0" xfId="0" applyNumberFormat="1" applyFont="1" applyFill="1" applyAlignment="1">
      <alignment horizontal="center" vertical="center" wrapText="1"/>
    </xf>
    <xf numFmtId="166" fontId="51" fillId="2" borderId="0" xfId="0" applyNumberFormat="1" applyFont="1" applyFill="1" applyAlignment="1">
      <alignment horizontal="center" vertical="center" wrapText="1"/>
    </xf>
    <xf numFmtId="0" fontId="18" fillId="0" borderId="16"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20" fillId="2" borderId="17"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20" fillId="2" borderId="108" xfId="0" applyFont="1" applyFill="1" applyBorder="1" applyAlignment="1" applyProtection="1">
      <alignment horizontal="center" vertical="center" wrapText="1"/>
      <protection hidden="1"/>
    </xf>
    <xf numFmtId="0" fontId="20" fillId="2" borderId="104" xfId="0" applyFont="1" applyFill="1" applyBorder="1" applyAlignment="1" applyProtection="1">
      <alignment horizontal="center" vertical="center" wrapText="1"/>
      <protection hidden="1"/>
    </xf>
    <xf numFmtId="0" fontId="20" fillId="2" borderId="109" xfId="0" applyFont="1" applyFill="1" applyBorder="1" applyAlignment="1" applyProtection="1">
      <alignment horizontal="center" vertical="center" wrapText="1"/>
      <protection hidden="1"/>
    </xf>
    <xf numFmtId="0" fontId="20" fillId="2" borderId="22"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center" vertical="center" wrapText="1"/>
      <protection hidden="1"/>
    </xf>
    <xf numFmtId="0" fontId="20" fillId="2" borderId="25" xfId="0" applyFont="1" applyFill="1" applyBorder="1" applyAlignment="1" applyProtection="1">
      <alignment horizontal="center" vertical="center" wrapText="1"/>
      <protection hidden="1"/>
    </xf>
    <xf numFmtId="0" fontId="20" fillId="2" borderId="26" xfId="0" applyFont="1" applyFill="1" applyBorder="1" applyAlignment="1" applyProtection="1">
      <alignment horizontal="center" vertical="center" wrapText="1"/>
      <protection hidden="1"/>
    </xf>
    <xf numFmtId="0" fontId="20" fillId="0" borderId="16" xfId="0" applyFont="1" applyBorder="1" applyAlignment="1">
      <alignment horizontal="left" vertical="top"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18" fillId="2" borderId="22" xfId="0" applyFont="1" applyFill="1" applyBorder="1" applyAlignment="1">
      <alignment horizontal="left" vertical="top" wrapText="1"/>
    </xf>
    <xf numFmtId="0" fontId="18" fillId="2" borderId="23" xfId="0" applyFont="1" applyFill="1" applyBorder="1" applyAlignment="1">
      <alignment horizontal="left" vertical="top" wrapText="1"/>
    </xf>
    <xf numFmtId="0" fontId="18" fillId="2" borderId="24" xfId="0" applyFont="1" applyFill="1" applyBorder="1" applyAlignment="1">
      <alignment horizontal="left" vertical="top" wrapText="1"/>
    </xf>
    <xf numFmtId="0" fontId="20" fillId="10" borderId="17" xfId="0" applyFont="1" applyFill="1" applyBorder="1" applyAlignment="1" applyProtection="1">
      <alignment horizontal="left" vertical="center" wrapText="1"/>
      <protection locked="0"/>
    </xf>
    <xf numFmtId="0" fontId="20" fillId="10" borderId="12" xfId="0" applyFont="1" applyFill="1" applyBorder="1" applyAlignment="1" applyProtection="1">
      <alignment horizontal="left" vertical="center" wrapText="1"/>
      <protection locked="0"/>
    </xf>
    <xf numFmtId="0" fontId="20" fillId="10" borderId="19" xfId="0" applyFont="1" applyFill="1" applyBorder="1" applyAlignment="1" applyProtection="1">
      <alignment horizontal="left" vertical="center" wrapText="1"/>
      <protection locked="0"/>
    </xf>
    <xf numFmtId="0" fontId="20" fillId="2" borderId="74"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20" fillId="2" borderId="77" xfId="0" applyFont="1" applyFill="1" applyBorder="1" applyAlignment="1" applyProtection="1">
      <alignment horizontal="center" vertical="center"/>
      <protection locked="0"/>
    </xf>
    <xf numFmtId="0" fontId="24" fillId="6" borderId="6"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3" fillId="6" borderId="2"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23" fillId="6" borderId="26" xfId="0" applyFont="1" applyFill="1" applyBorder="1" applyAlignment="1">
      <alignment horizontal="center" vertical="center" wrapText="1"/>
    </xf>
    <xf numFmtId="0" fontId="23" fillId="6" borderId="1" xfId="0" applyFont="1" applyFill="1" applyBorder="1" applyAlignment="1" applyProtection="1">
      <alignment horizontal="center" vertical="center" textRotation="90" wrapText="1"/>
      <protection locked="0"/>
    </xf>
    <xf numFmtId="0" fontId="23" fillId="6" borderId="2" xfId="0" applyFont="1" applyFill="1" applyBorder="1" applyAlignment="1" applyProtection="1">
      <alignment horizontal="center" vertical="center" textRotation="90" wrapText="1"/>
      <protection locked="0"/>
    </xf>
    <xf numFmtId="0" fontId="23" fillId="6" borderId="1" xfId="0" applyFont="1" applyFill="1" applyBorder="1" applyAlignment="1" applyProtection="1">
      <alignment horizontal="center" vertical="center"/>
      <protection locked="0"/>
    </xf>
    <xf numFmtId="0" fontId="23" fillId="6" borderId="2"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hidden="1"/>
    </xf>
    <xf numFmtId="0" fontId="24"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textRotation="90" wrapText="1"/>
      <protection hidden="1"/>
    </xf>
    <xf numFmtId="0" fontId="23" fillId="2" borderId="0" xfId="0" applyFont="1" applyFill="1" applyAlignment="1">
      <alignment horizontal="center" vertical="center" textRotation="90" wrapText="1"/>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20" fillId="19" borderId="1" xfId="0" applyFont="1" applyFill="1" applyBorder="1" applyAlignment="1">
      <alignment horizontal="left" vertical="top" wrapText="1"/>
    </xf>
    <xf numFmtId="0" fontId="23" fillId="6" borderId="1" xfId="0" applyFont="1" applyFill="1" applyBorder="1" applyAlignment="1">
      <alignment horizontal="left" vertical="center" wrapText="1"/>
    </xf>
    <xf numFmtId="0" fontId="23" fillId="6" borderId="2"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6" borderId="2" xfId="0" applyFont="1" applyFill="1" applyBorder="1" applyAlignment="1">
      <alignment horizontal="left" vertical="center" wrapText="1"/>
    </xf>
    <xf numFmtId="0" fontId="20" fillId="0" borderId="21" xfId="0" applyFont="1" applyBorder="1" applyAlignment="1">
      <alignment horizontal="left" vertical="top" wrapText="1"/>
    </xf>
    <xf numFmtId="0" fontId="23" fillId="6" borderId="1" xfId="0" applyFont="1" applyFill="1" applyBorder="1" applyAlignment="1">
      <alignment horizontal="center" vertical="center" textRotation="90" wrapText="1"/>
    </xf>
    <xf numFmtId="0" fontId="23" fillId="6" borderId="2" xfId="0" applyFont="1" applyFill="1" applyBorder="1" applyAlignment="1">
      <alignment horizontal="center" vertical="center" textRotation="90" wrapText="1"/>
    </xf>
    <xf numFmtId="0" fontId="14" fillId="19" borderId="1" xfId="0" applyFont="1" applyFill="1" applyBorder="1" applyAlignment="1" applyProtection="1">
      <alignment horizontal="center" vertical="center" wrapText="1"/>
      <protection hidden="1"/>
    </xf>
    <xf numFmtId="0" fontId="20" fillId="2" borderId="90" xfId="0" applyFont="1" applyFill="1" applyBorder="1" applyAlignment="1" applyProtection="1">
      <alignment horizontal="center" vertical="center" wrapText="1"/>
      <protection hidden="1"/>
    </xf>
    <xf numFmtId="0" fontId="20" fillId="2" borderId="13" xfId="0" applyFont="1" applyFill="1" applyBorder="1" applyAlignment="1" applyProtection="1">
      <alignment horizontal="center" vertical="center" wrapText="1"/>
      <protection hidden="1"/>
    </xf>
    <xf numFmtId="0" fontId="20" fillId="2" borderId="91" xfId="0" applyFont="1" applyFill="1" applyBorder="1" applyAlignment="1" applyProtection="1">
      <alignment horizontal="center" vertical="center" wrapText="1"/>
      <protection hidden="1"/>
    </xf>
    <xf numFmtId="0" fontId="23" fillId="6" borderId="1" xfId="0" applyFont="1" applyFill="1" applyBorder="1" applyAlignment="1" applyProtection="1">
      <alignment horizontal="center" vertical="center" textRotation="90" wrapText="1"/>
      <protection hidden="1"/>
    </xf>
    <xf numFmtId="0" fontId="23" fillId="6" borderId="2" xfId="0" applyFont="1" applyFill="1" applyBorder="1" applyAlignment="1" applyProtection="1">
      <alignment horizontal="center" vertical="center" textRotation="90" wrapText="1"/>
      <protection hidden="1"/>
    </xf>
    <xf numFmtId="0" fontId="23" fillId="6" borderId="3" xfId="0" applyFont="1" applyFill="1" applyBorder="1" applyAlignment="1" applyProtection="1">
      <alignment horizontal="center" vertical="center" textRotation="90" wrapText="1"/>
      <protection hidden="1"/>
    </xf>
    <xf numFmtId="0" fontId="20" fillId="2" borderId="3" xfId="0" applyFont="1" applyFill="1" applyBorder="1" applyAlignment="1" applyProtection="1">
      <alignment horizontal="center" vertical="center" wrapText="1"/>
      <protection hidden="1"/>
    </xf>
    <xf numFmtId="0" fontId="20" fillId="2" borderId="0" xfId="0" applyFont="1" applyFill="1" applyAlignment="1">
      <alignment horizontal="left" vertical="center" wrapText="1"/>
    </xf>
    <xf numFmtId="0" fontId="20" fillId="2" borderId="0" xfId="0" applyFont="1" applyFill="1" applyAlignment="1">
      <alignment horizontal="center"/>
    </xf>
    <xf numFmtId="164" fontId="20" fillId="2" borderId="0" xfId="0" applyNumberFormat="1" applyFont="1" applyFill="1" applyAlignment="1">
      <alignment horizont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1" xfId="0" applyFont="1" applyFill="1" applyBorder="1" applyAlignment="1">
      <alignment horizontal="center" vertical="center" wrapText="1"/>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73" xfId="0" applyFont="1" applyFill="1" applyBorder="1" applyAlignment="1">
      <alignment horizontal="center" vertical="center"/>
    </xf>
    <xf numFmtId="0" fontId="14" fillId="19" borderId="1" xfId="0" applyFont="1" applyFill="1" applyBorder="1" applyAlignment="1">
      <alignment horizontal="center" vertical="center" wrapText="1"/>
    </xf>
    <xf numFmtId="0" fontId="20" fillId="2" borderId="23" xfId="0" applyFont="1" applyFill="1" applyBorder="1" applyAlignment="1" applyProtection="1">
      <alignment horizontal="left" vertical="center"/>
      <protection locked="0"/>
    </xf>
    <xf numFmtId="0" fontId="20" fillId="2" borderId="24"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wrapText="1"/>
      <protection locked="0"/>
    </xf>
    <xf numFmtId="0" fontId="20" fillId="0" borderId="105"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3" fillId="6" borderId="94" xfId="0" applyFont="1" applyFill="1" applyBorder="1" applyAlignment="1" applyProtection="1">
      <alignment horizontal="center" vertical="center"/>
      <protection locked="0"/>
    </xf>
    <xf numFmtId="0" fontId="23" fillId="6" borderId="95" xfId="0" applyFont="1" applyFill="1" applyBorder="1" applyAlignment="1" applyProtection="1">
      <alignment horizontal="center" vertical="center"/>
      <protection locked="0"/>
    </xf>
    <xf numFmtId="0" fontId="23" fillId="6" borderId="96" xfId="0" applyFont="1" applyFill="1" applyBorder="1" applyAlignment="1" applyProtection="1">
      <alignment horizontal="center" vertical="center"/>
      <protection locked="0"/>
    </xf>
    <xf numFmtId="0" fontId="23" fillId="6" borderId="2" xfId="0" applyFont="1" applyFill="1" applyBorder="1" applyAlignment="1" applyProtection="1">
      <alignment horizontal="center" vertical="center" wrapText="1"/>
      <protection locked="0"/>
    </xf>
    <xf numFmtId="0" fontId="23" fillId="6" borderId="26" xfId="0" applyFont="1" applyFill="1" applyBorder="1" applyAlignment="1" applyProtection="1">
      <alignment horizontal="center" vertical="center" wrapText="1"/>
      <protection locked="0"/>
    </xf>
    <xf numFmtId="0" fontId="20" fillId="2" borderId="16"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15" xfId="0" applyFont="1" applyFill="1" applyBorder="1" applyAlignment="1">
      <alignment horizontal="left" vertical="top" wrapText="1"/>
    </xf>
    <xf numFmtId="0" fontId="23" fillId="6" borderId="64" xfId="0" applyFont="1" applyFill="1" applyBorder="1" applyAlignment="1" applyProtection="1">
      <alignment horizontal="center" vertical="center" wrapText="1"/>
      <protection locked="0"/>
    </xf>
    <xf numFmtId="0" fontId="23" fillId="6" borderId="25" xfId="0" applyFont="1" applyFill="1" applyBorder="1" applyAlignment="1" applyProtection="1">
      <alignment horizontal="center" vertical="center" wrapText="1"/>
      <protection locked="0"/>
    </xf>
    <xf numFmtId="0" fontId="20" fillId="20" borderId="17" xfId="0" applyFont="1" applyFill="1" applyBorder="1" applyAlignment="1" applyProtection="1">
      <alignment horizontal="left" vertical="center" wrapText="1"/>
      <protection locked="0"/>
    </xf>
    <xf numFmtId="0" fontId="20" fillId="20" borderId="12" xfId="0" applyFont="1" applyFill="1" applyBorder="1" applyAlignment="1" applyProtection="1">
      <alignment horizontal="left" vertical="center" wrapText="1"/>
      <protection locked="0"/>
    </xf>
    <xf numFmtId="0" fontId="20" fillId="20" borderId="19" xfId="0" applyFont="1" applyFill="1" applyBorder="1" applyAlignment="1" applyProtection="1">
      <alignment horizontal="left" vertical="center" wrapText="1"/>
      <protection locked="0"/>
    </xf>
    <xf numFmtId="0" fontId="23" fillId="6" borderId="1" xfId="0" applyFont="1" applyFill="1" applyBorder="1" applyAlignment="1" applyProtection="1">
      <alignment horizontal="center" vertical="center" wrapText="1"/>
      <protection locked="0"/>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20" fillId="0" borderId="24" xfId="0" applyFont="1" applyBorder="1" applyAlignment="1">
      <alignment horizontal="left" vertical="top" wrapText="1"/>
    </xf>
    <xf numFmtId="0" fontId="20" fillId="0" borderId="16"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14" fillId="19" borderId="1" xfId="0" applyFont="1" applyFill="1" applyBorder="1" applyAlignment="1" applyProtection="1">
      <alignment horizontal="center" vertical="center"/>
      <protection locked="0"/>
    </xf>
    <xf numFmtId="0" fontId="20" fillId="2" borderId="158" xfId="0" applyFont="1" applyFill="1" applyBorder="1" applyAlignment="1" applyProtection="1">
      <alignment horizontal="left" vertical="center" wrapText="1"/>
      <protection locked="0"/>
    </xf>
    <xf numFmtId="0" fontId="20" fillId="2" borderId="104" xfId="0" applyFont="1" applyFill="1" applyBorder="1" applyAlignment="1" applyProtection="1">
      <alignment horizontal="left" vertical="center"/>
      <protection locked="0"/>
    </xf>
    <xf numFmtId="0" fontId="20" fillId="2" borderId="109" xfId="0" applyFont="1" applyFill="1" applyBorder="1" applyAlignment="1" applyProtection="1">
      <alignment horizontal="left" vertical="center"/>
      <protection locked="0"/>
    </xf>
    <xf numFmtId="0" fontId="23" fillId="6" borderId="64" xfId="0" applyFont="1" applyFill="1" applyBorder="1" applyAlignment="1">
      <alignment horizontal="center" vertical="center" wrapText="1"/>
    </xf>
    <xf numFmtId="0" fontId="48" fillId="6" borderId="0" xfId="0" applyFont="1" applyFill="1" applyAlignment="1">
      <alignment horizontal="center" vertical="center"/>
    </xf>
    <xf numFmtId="0" fontId="19" fillId="2" borderId="0" xfId="0" applyFont="1" applyFill="1" applyAlignment="1">
      <alignment horizontal="justify" vertical="top" wrapText="1"/>
    </xf>
    <xf numFmtId="0" fontId="20" fillId="10" borderId="12" xfId="0" applyFont="1" applyFill="1" applyBorder="1" applyAlignment="1" applyProtection="1">
      <alignment horizontal="left" vertical="center"/>
      <protection locked="0"/>
    </xf>
    <xf numFmtId="0" fontId="20" fillId="10" borderId="19" xfId="0" applyFont="1" applyFill="1" applyBorder="1" applyAlignment="1" applyProtection="1">
      <alignment horizontal="left" vertical="center"/>
      <protection locked="0"/>
    </xf>
    <xf numFmtId="0" fontId="20" fillId="2" borderId="104" xfId="0" applyFont="1" applyFill="1" applyBorder="1" applyAlignment="1" applyProtection="1">
      <alignment horizontal="center" vertical="center"/>
      <protection locked="0"/>
    </xf>
    <xf numFmtId="0" fontId="20" fillId="2" borderId="109" xfId="0" applyFont="1" applyFill="1" applyBorder="1" applyAlignment="1" applyProtection="1">
      <alignment horizontal="center" vertical="center"/>
      <protection locked="0"/>
    </xf>
    <xf numFmtId="0" fontId="44" fillId="19" borderId="1" xfId="0" applyFont="1" applyFill="1" applyBorder="1" applyAlignment="1">
      <alignment horizontal="center" vertical="center" textRotation="90" shrinkToFit="1"/>
    </xf>
    <xf numFmtId="0" fontId="20" fillId="2" borderId="29" xfId="0" applyFont="1" applyFill="1" applyBorder="1" applyAlignment="1" applyProtection="1">
      <alignment horizontal="center" vertical="center" wrapText="1"/>
      <protection hidden="1"/>
    </xf>
    <xf numFmtId="0" fontId="20" fillId="2" borderId="78" xfId="0" applyFont="1" applyFill="1" applyBorder="1" applyAlignment="1" applyProtection="1">
      <alignment horizontal="center" vertical="center"/>
      <protection locked="0"/>
    </xf>
    <xf numFmtId="0" fontId="20" fillId="2" borderId="79" xfId="0" applyFont="1" applyFill="1" applyBorder="1" applyAlignment="1" applyProtection="1">
      <alignment horizontal="center" vertical="center"/>
      <protection locked="0"/>
    </xf>
    <xf numFmtId="0" fontId="20" fillId="2" borderId="80" xfId="0" applyFont="1" applyFill="1" applyBorder="1" applyAlignment="1" applyProtection="1">
      <alignment horizontal="center" vertical="center"/>
      <protection locked="0"/>
    </xf>
    <xf numFmtId="0" fontId="20" fillId="0" borderId="41" xfId="0" applyFont="1" applyBorder="1" applyAlignment="1">
      <alignment horizontal="left" vertical="top" wrapText="1"/>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20" fillId="0" borderId="22"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20" fillId="0" borderId="105" xfId="0" applyFont="1" applyFill="1" applyBorder="1" applyAlignment="1" applyProtection="1">
      <alignment horizontal="left" vertical="center" wrapText="1"/>
      <protection locked="0"/>
    </xf>
    <xf numFmtId="0" fontId="20" fillId="0" borderId="24" xfId="0" applyFont="1" applyFill="1" applyBorder="1" applyAlignment="1" applyProtection="1">
      <alignment horizontal="left" vertical="center" wrapText="1"/>
      <protection locked="0"/>
    </xf>
    <xf numFmtId="2" fontId="24" fillId="0" borderId="0" xfId="0" applyNumberFormat="1" applyFont="1" applyAlignment="1" applyProtection="1">
      <alignment horizontal="center" vertical="center" wrapText="1"/>
      <protection hidden="1"/>
    </xf>
    <xf numFmtId="2" fontId="23" fillId="0" borderId="0" xfId="0" applyNumberFormat="1" applyFont="1" applyAlignment="1" applyProtection="1">
      <alignment horizontal="center" vertical="center" textRotation="90" wrapText="1"/>
      <protection hidden="1"/>
    </xf>
    <xf numFmtId="2" fontId="23" fillId="0" borderId="0" xfId="0" applyNumberFormat="1" applyFont="1" applyAlignment="1">
      <alignment horizontal="center" vertical="center" textRotation="90" wrapText="1"/>
    </xf>
    <xf numFmtId="0" fontId="20" fillId="9" borderId="87" xfId="0" applyFont="1" applyFill="1" applyBorder="1" applyAlignment="1">
      <alignment horizontal="left" vertical="top" wrapText="1"/>
    </xf>
    <xf numFmtId="0" fontId="20" fillId="9" borderId="88" xfId="0" applyFont="1" applyFill="1" applyBorder="1" applyAlignment="1">
      <alignment horizontal="left" vertical="top" wrapText="1"/>
    </xf>
    <xf numFmtId="0" fontId="20" fillId="9" borderId="89" xfId="0" applyFont="1" applyFill="1" applyBorder="1" applyAlignment="1">
      <alignment horizontal="left" vertical="top" wrapText="1"/>
    </xf>
    <xf numFmtId="0" fontId="25" fillId="5" borderId="1" xfId="0" applyFont="1" applyFill="1" applyBorder="1" applyAlignment="1">
      <alignment horizontal="left" vertical="top" wrapText="1"/>
    </xf>
    <xf numFmtId="0" fontId="24" fillId="5" borderId="1" xfId="0" applyFont="1" applyFill="1" applyBorder="1" applyAlignment="1">
      <alignment horizontal="left" vertical="top" wrapText="1"/>
    </xf>
    <xf numFmtId="0" fontId="24" fillId="5" borderId="2" xfId="0" applyFont="1" applyFill="1" applyBorder="1" applyAlignment="1">
      <alignment horizontal="left" vertical="top" wrapText="1"/>
    </xf>
    <xf numFmtId="0" fontId="20"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3" fillId="5" borderId="1" xfId="0" applyFont="1" applyFill="1" applyBorder="1" applyAlignment="1">
      <alignment horizontal="left" vertical="top" wrapText="1"/>
    </xf>
    <xf numFmtId="0" fontId="23" fillId="5" borderId="1" xfId="0" applyFont="1" applyFill="1" applyBorder="1" applyAlignment="1">
      <alignment horizontal="center" vertical="center" textRotation="90" wrapText="1"/>
    </xf>
    <xf numFmtId="0" fontId="23" fillId="5" borderId="2" xfId="0" applyFont="1" applyFill="1" applyBorder="1" applyAlignment="1">
      <alignment horizontal="center" vertical="center" textRotation="90" wrapText="1"/>
    </xf>
    <xf numFmtId="0" fontId="18" fillId="9" borderId="41" xfId="0" applyFont="1" applyFill="1" applyBorder="1" applyAlignment="1">
      <alignment horizontal="left" vertical="top" wrapText="1"/>
    </xf>
    <xf numFmtId="0" fontId="18" fillId="9" borderId="42" xfId="0" applyFont="1" applyFill="1" applyBorder="1" applyAlignment="1">
      <alignment horizontal="left" vertical="top" wrapText="1"/>
    </xf>
    <xf numFmtId="0" fontId="18" fillId="9" borderId="43" xfId="0" applyFont="1" applyFill="1" applyBorder="1" applyAlignment="1">
      <alignment horizontal="left" vertical="top" wrapText="1"/>
    </xf>
    <xf numFmtId="0" fontId="23"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3" fillId="5" borderId="0" xfId="0" applyFont="1" applyFill="1" applyAlignment="1">
      <alignment horizontal="center" vertical="center"/>
    </xf>
    <xf numFmtId="0" fontId="23" fillId="5" borderId="1" xfId="0" applyFont="1" applyFill="1" applyBorder="1" applyAlignment="1" applyProtection="1">
      <alignment horizontal="center" vertical="center" textRotation="90" wrapText="1"/>
      <protection hidden="1"/>
    </xf>
    <xf numFmtId="0" fontId="23" fillId="5" borderId="2" xfId="0" applyFont="1" applyFill="1" applyBorder="1" applyAlignment="1" applyProtection="1">
      <alignment horizontal="center" vertical="center" textRotation="90" wrapText="1"/>
      <protection hidden="1"/>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26" xfId="0" applyFont="1" applyFill="1" applyBorder="1" applyAlignment="1">
      <alignment horizontal="center" vertical="center"/>
    </xf>
    <xf numFmtId="0" fontId="23" fillId="5" borderId="25"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18" fillId="9" borderId="16" xfId="0" applyFont="1" applyFill="1" applyBorder="1" applyAlignment="1">
      <alignment horizontal="left" vertical="top" wrapText="1"/>
    </xf>
    <xf numFmtId="0" fontId="18" fillId="9" borderId="14" xfId="0" applyFont="1" applyFill="1" applyBorder="1" applyAlignment="1">
      <alignment horizontal="left" vertical="top" wrapText="1"/>
    </xf>
    <xf numFmtId="0" fontId="18" fillId="9" borderId="15" xfId="0" applyFont="1" applyFill="1" applyBorder="1" applyAlignment="1">
      <alignment horizontal="left" vertical="top" wrapText="1"/>
    </xf>
    <xf numFmtId="0" fontId="18" fillId="0" borderId="22" xfId="0" quotePrefix="1" applyFont="1" applyBorder="1" applyAlignment="1">
      <alignment horizontal="left" vertical="top" wrapText="1"/>
    </xf>
    <xf numFmtId="0" fontId="23" fillId="5" borderId="1" xfId="0" applyFont="1" applyFill="1" applyBorder="1" applyAlignment="1" applyProtection="1">
      <alignment horizontal="center" vertical="center" textRotation="90" wrapText="1"/>
      <protection locked="0"/>
    </xf>
    <xf numFmtId="0" fontId="23" fillId="5" borderId="2" xfId="0" applyFont="1" applyFill="1" applyBorder="1" applyAlignment="1" applyProtection="1">
      <alignment horizontal="center" vertical="center" textRotation="90" wrapText="1"/>
      <protection locked="0"/>
    </xf>
    <xf numFmtId="0" fontId="23" fillId="5" borderId="2" xfId="0" applyFont="1" applyFill="1" applyBorder="1" applyAlignment="1" applyProtection="1">
      <alignment horizontal="center" vertical="center" wrapText="1"/>
      <protection locked="0"/>
    </xf>
    <xf numFmtId="0" fontId="23" fillId="5" borderId="26"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3" fillId="5" borderId="5" xfId="0" applyFont="1" applyFill="1" applyBorder="1" applyAlignment="1" applyProtection="1">
      <alignment horizontal="center" vertical="center"/>
      <protection locked="0"/>
    </xf>
    <xf numFmtId="0" fontId="20" fillId="21" borderId="17" xfId="0" applyFont="1" applyFill="1" applyBorder="1" applyAlignment="1" applyProtection="1">
      <alignment vertical="center" wrapText="1"/>
      <protection locked="0"/>
    </xf>
    <xf numFmtId="0" fontId="20" fillId="21" borderId="12" xfId="0" applyFont="1" applyFill="1" applyBorder="1" applyAlignment="1" applyProtection="1">
      <alignment vertical="center" wrapText="1"/>
      <protection locked="0"/>
    </xf>
    <xf numFmtId="0" fontId="20" fillId="21" borderId="19" xfId="0" applyFont="1" applyFill="1" applyBorder="1" applyAlignment="1" applyProtection="1">
      <alignment vertical="center" wrapText="1"/>
      <protection locked="0"/>
    </xf>
    <xf numFmtId="0" fontId="20" fillId="21" borderId="17" xfId="0" applyFont="1" applyFill="1" applyBorder="1" applyAlignment="1" applyProtection="1">
      <alignment horizontal="left" vertical="center" wrapText="1"/>
      <protection locked="0"/>
    </xf>
    <xf numFmtId="0" fontId="20" fillId="21" borderId="12" xfId="0" applyFont="1" applyFill="1" applyBorder="1" applyAlignment="1" applyProtection="1">
      <alignment horizontal="left" vertical="center" wrapText="1"/>
      <protection locked="0"/>
    </xf>
    <xf numFmtId="0" fontId="20" fillId="21" borderId="19" xfId="0" applyFont="1" applyFill="1" applyBorder="1" applyAlignment="1" applyProtection="1">
      <alignment horizontal="left" vertical="center" wrapText="1"/>
      <protection locked="0"/>
    </xf>
    <xf numFmtId="0" fontId="23" fillId="5" borderId="25" xfId="0" applyFont="1" applyFill="1" applyBorder="1" applyAlignment="1" applyProtection="1">
      <alignment horizontal="center" vertical="center" wrapText="1"/>
      <protection locked="0"/>
    </xf>
    <xf numFmtId="0" fontId="23" fillId="5" borderId="26" xfId="0" applyFont="1" applyFill="1" applyBorder="1" applyAlignment="1" applyProtection="1">
      <alignment horizontal="center" vertical="center" wrapText="1"/>
      <protection locked="0"/>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3" fillId="0" borderId="0" xfId="0" applyFont="1" applyAlignment="1" applyProtection="1">
      <alignment horizontal="center" vertical="center" textRotation="90" wrapText="1"/>
      <protection hidden="1"/>
    </xf>
    <xf numFmtId="0" fontId="23" fillId="0" borderId="0" xfId="0" applyFont="1" applyAlignment="1">
      <alignment horizontal="center" vertical="center" textRotation="90" wrapText="1"/>
    </xf>
    <xf numFmtId="0" fontId="24" fillId="0" borderId="0" xfId="0" applyFont="1" applyAlignment="1" applyProtection="1">
      <alignment horizontal="center" vertical="center" wrapText="1"/>
      <protection hidden="1"/>
    </xf>
    <xf numFmtId="2" fontId="52" fillId="0" borderId="0" xfId="0" applyNumberFormat="1" applyFont="1" applyAlignment="1">
      <alignment horizontal="center" vertical="center" textRotation="90" wrapText="1"/>
    </xf>
    <xf numFmtId="2" fontId="51" fillId="0" borderId="0" xfId="0" applyNumberFormat="1" applyFont="1" applyAlignment="1">
      <alignment horizontal="center" vertical="center" wrapText="1"/>
    </xf>
    <xf numFmtId="0" fontId="52" fillId="0" borderId="0" xfId="0" applyFont="1" applyAlignment="1">
      <alignment horizontal="center" vertical="center" textRotation="90" wrapText="1"/>
    </xf>
    <xf numFmtId="0" fontId="51" fillId="0" borderId="0" xfId="0" applyFont="1" applyAlignment="1">
      <alignment horizontal="center" vertical="center" wrapText="1"/>
    </xf>
    <xf numFmtId="0" fontId="20" fillId="2" borderId="105" xfId="0" applyFont="1" applyFill="1" applyBorder="1" applyAlignment="1" applyProtection="1">
      <alignment horizontal="left" vertical="center" wrapText="1"/>
      <protection locked="0"/>
    </xf>
    <xf numFmtId="0" fontId="18" fillId="0" borderId="41" xfId="0" applyFont="1" applyBorder="1" applyAlignment="1">
      <alignment horizontal="left" vertical="top" wrapText="1"/>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3" fillId="3" borderId="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36" xfId="0" applyFont="1" applyFill="1" applyBorder="1" applyAlignment="1">
      <alignment horizontal="center" vertical="center" wrapText="1"/>
    </xf>
    <xf numFmtId="0" fontId="23" fillId="3" borderId="4" xfId="0" applyFont="1" applyFill="1" applyBorder="1" applyAlignment="1">
      <alignment vertical="center" wrapText="1"/>
    </xf>
    <xf numFmtId="0" fontId="24" fillId="3" borderId="4" xfId="0" applyFont="1" applyFill="1" applyBorder="1" applyAlignment="1">
      <alignment vertical="center" wrapText="1"/>
    </xf>
    <xf numFmtId="0" fontId="24" fillId="3" borderId="136" xfId="0" applyFont="1" applyFill="1" applyBorder="1" applyAlignment="1">
      <alignment vertical="center" wrapText="1"/>
    </xf>
    <xf numFmtId="0" fontId="23" fillId="3" borderId="0" xfId="0" applyFont="1" applyFill="1" applyAlignment="1">
      <alignment horizontal="center" vertical="center"/>
    </xf>
    <xf numFmtId="0" fontId="23" fillId="3" borderId="1" xfId="0" applyFont="1" applyFill="1" applyBorder="1" applyAlignment="1" applyProtection="1">
      <alignment horizontal="center" vertical="center" textRotation="90" wrapText="1"/>
      <protection hidden="1"/>
    </xf>
    <xf numFmtId="0" fontId="23" fillId="3" borderId="2" xfId="0" applyFont="1" applyFill="1" applyBorder="1" applyAlignment="1" applyProtection="1">
      <alignment horizontal="center" vertical="center" textRotation="90" wrapText="1"/>
      <protection hidden="1"/>
    </xf>
    <xf numFmtId="0" fontId="23" fillId="3" borderId="138" xfId="0" applyFont="1" applyFill="1" applyBorder="1" applyAlignment="1">
      <alignment horizontal="center" vertical="center" textRotation="90" wrapText="1"/>
    </xf>
    <xf numFmtId="0" fontId="23" fillId="3" borderId="140" xfId="0" applyFont="1" applyFill="1" applyBorder="1" applyAlignment="1">
      <alignment horizontal="center" vertical="center" textRotation="90" wrapText="1"/>
    </xf>
    <xf numFmtId="0" fontId="23" fillId="3" borderId="142" xfId="0" applyFont="1" applyFill="1" applyBorder="1" applyAlignment="1">
      <alignment horizontal="center" vertical="center" textRotation="90" wrapText="1"/>
    </xf>
    <xf numFmtId="0" fontId="23" fillId="3" borderId="138" xfId="0" applyFont="1" applyFill="1" applyBorder="1" applyAlignment="1" applyProtection="1">
      <alignment horizontal="center" vertical="center" textRotation="90" wrapText="1"/>
      <protection hidden="1"/>
    </xf>
    <xf numFmtId="0" fontId="23" fillId="3" borderId="140" xfId="0" applyFont="1" applyFill="1" applyBorder="1" applyAlignment="1" applyProtection="1">
      <alignment horizontal="center" vertical="center" textRotation="90" wrapText="1"/>
      <protection hidden="1"/>
    </xf>
    <xf numFmtId="0" fontId="23" fillId="3" borderId="142" xfId="0" applyFont="1" applyFill="1" applyBorder="1" applyAlignment="1" applyProtection="1">
      <alignment horizontal="center" vertical="center" textRotation="90" wrapText="1"/>
      <protection hidden="1"/>
    </xf>
    <xf numFmtId="0" fontId="18" fillId="0" borderId="21" xfId="0" applyFont="1" applyBorder="1" applyAlignment="1">
      <alignment horizontal="left" vertical="top" wrapText="1"/>
    </xf>
    <xf numFmtId="0" fontId="20" fillId="20" borderId="107" xfId="0" applyFont="1" applyFill="1" applyBorder="1" applyAlignment="1" applyProtection="1">
      <alignment horizontal="left" vertical="center" wrapText="1"/>
      <protection locked="0"/>
    </xf>
    <xf numFmtId="0" fontId="20" fillId="2" borderId="107" xfId="0" applyFont="1" applyFill="1" applyBorder="1" applyAlignment="1" applyProtection="1">
      <alignment horizontal="center" vertical="center"/>
      <protection locked="0"/>
    </xf>
    <xf numFmtId="0" fontId="23" fillId="3" borderId="1" xfId="0" applyFont="1" applyFill="1" applyBorder="1" applyAlignment="1">
      <alignment horizontal="center" vertical="center"/>
    </xf>
    <xf numFmtId="0" fontId="23" fillId="3" borderId="69" xfId="0" applyFont="1" applyFill="1" applyBorder="1" applyAlignment="1">
      <alignment horizontal="center" vertical="center"/>
    </xf>
    <xf numFmtId="0" fontId="23" fillId="3" borderId="70" xfId="0" applyFont="1" applyFill="1" applyBorder="1" applyAlignment="1">
      <alignment horizontal="center" vertical="center" textRotation="90" wrapText="1"/>
    </xf>
    <xf numFmtId="0" fontId="23" fillId="3" borderId="1" xfId="0" applyFont="1" applyFill="1" applyBorder="1" applyAlignment="1">
      <alignment horizontal="center" vertical="center" textRotation="90" wrapText="1"/>
    </xf>
    <xf numFmtId="0" fontId="23" fillId="3" borderId="69" xfId="0" applyFont="1" applyFill="1" applyBorder="1" applyAlignment="1">
      <alignment horizontal="center" vertical="center" textRotation="90" wrapText="1"/>
    </xf>
    <xf numFmtId="0" fontId="20" fillId="2" borderId="135" xfId="0" applyFont="1" applyFill="1" applyBorder="1" applyAlignment="1" applyProtection="1">
      <alignment horizontal="center" vertical="center"/>
      <protection locked="0"/>
    </xf>
    <xf numFmtId="0" fontId="23" fillId="3" borderId="137" xfId="0" applyFont="1" applyFill="1" applyBorder="1" applyAlignment="1">
      <alignment horizontal="left" vertical="top" wrapText="1"/>
    </xf>
    <xf numFmtId="0" fontId="24" fillId="3" borderId="139" xfId="0" applyFont="1" applyFill="1" applyBorder="1" applyAlignment="1">
      <alignment horizontal="left" vertical="top" wrapText="1"/>
    </xf>
    <xf numFmtId="0" fontId="24" fillId="3" borderId="141" xfId="0" applyFont="1" applyFill="1" applyBorder="1" applyAlignment="1">
      <alignment horizontal="left" vertical="top" wrapText="1"/>
    </xf>
    <xf numFmtId="0" fontId="23" fillId="3" borderId="70"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69" xfId="0" applyFont="1" applyFill="1" applyBorder="1" applyAlignment="1">
      <alignment horizontal="center" vertical="center" wrapText="1"/>
    </xf>
    <xf numFmtId="0" fontId="23" fillId="3" borderId="70" xfId="0" applyFont="1" applyFill="1" applyBorder="1" applyAlignment="1">
      <alignment horizontal="center" vertical="center"/>
    </xf>
    <xf numFmtId="0" fontId="23" fillId="3" borderId="1" xfId="0" applyFont="1" applyFill="1" applyBorder="1" applyAlignment="1" applyProtection="1">
      <alignment horizontal="center" vertical="center" textRotation="90" wrapText="1"/>
      <protection locked="0"/>
    </xf>
    <xf numFmtId="0" fontId="23" fillId="3" borderId="2" xfId="0" applyFont="1" applyFill="1" applyBorder="1" applyAlignment="1" applyProtection="1">
      <alignment horizontal="center" vertical="center" textRotation="90" wrapText="1"/>
      <protection locked="0"/>
    </xf>
    <xf numFmtId="0" fontId="23" fillId="3" borderId="1"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wrapText="1"/>
      <protection locked="0"/>
    </xf>
    <xf numFmtId="0" fontId="23" fillId="3" borderId="26" xfId="0" applyFont="1" applyFill="1" applyBorder="1" applyAlignment="1" applyProtection="1">
      <alignment horizontal="center" vertical="center"/>
      <protection locked="0"/>
    </xf>
    <xf numFmtId="0" fontId="23" fillId="3" borderId="2"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70"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23" fillId="3" borderId="69" xfId="0" applyFont="1" applyFill="1" applyBorder="1" applyAlignment="1" applyProtection="1">
      <alignment horizontal="center" vertical="center" wrapText="1"/>
      <protection locked="0"/>
    </xf>
    <xf numFmtId="0" fontId="20" fillId="20" borderId="17" xfId="0" applyFont="1" applyFill="1" applyBorder="1" applyAlignment="1" applyProtection="1">
      <alignment vertical="center" wrapText="1"/>
      <protection locked="0"/>
    </xf>
    <xf numFmtId="0" fontId="20" fillId="20" borderId="12" xfId="0" applyFont="1" applyFill="1" applyBorder="1" applyAlignment="1" applyProtection="1">
      <alignment vertical="center" wrapText="1"/>
      <protection locked="0"/>
    </xf>
    <xf numFmtId="0" fontId="20" fillId="20" borderId="19" xfId="0" applyFont="1" applyFill="1" applyBorder="1" applyAlignment="1" applyProtection="1">
      <alignment vertical="center" wrapText="1"/>
      <protection locked="0"/>
    </xf>
    <xf numFmtId="0" fontId="23" fillId="3" borderId="64" xfId="0" applyFont="1" applyFill="1" applyBorder="1" applyAlignment="1">
      <alignment horizontal="center" vertical="center" wrapText="1"/>
    </xf>
    <xf numFmtId="0" fontId="23" fillId="3" borderId="70" xfId="0" applyFont="1" applyFill="1" applyBorder="1" applyAlignment="1" applyProtection="1">
      <alignment horizontal="center" vertical="center" textRotation="90" wrapText="1"/>
      <protection locked="0"/>
    </xf>
    <xf numFmtId="0" fontId="23" fillId="3" borderId="69" xfId="0" applyFont="1" applyFill="1" applyBorder="1" applyAlignment="1" applyProtection="1">
      <alignment horizontal="center" vertical="center" textRotation="90" wrapText="1"/>
      <protection locked="0"/>
    </xf>
    <xf numFmtId="0" fontId="23" fillId="3" borderId="94" xfId="0" applyFont="1" applyFill="1" applyBorder="1" applyAlignment="1" applyProtection="1">
      <alignment horizontal="center" vertical="center"/>
      <protection locked="0"/>
    </xf>
    <xf numFmtId="0" fontId="23" fillId="3" borderId="95" xfId="0" applyFont="1" applyFill="1" applyBorder="1" applyAlignment="1" applyProtection="1">
      <alignment horizontal="center" vertical="center"/>
      <protection locked="0"/>
    </xf>
    <xf numFmtId="0" fontId="23" fillId="3" borderId="69" xfId="0" applyFont="1" applyFill="1" applyBorder="1" applyAlignment="1" applyProtection="1">
      <alignment horizontal="center" vertical="center"/>
      <protection locked="0"/>
    </xf>
    <xf numFmtId="168" fontId="24" fillId="0" borderId="0" xfId="0" applyNumberFormat="1" applyFont="1" applyAlignment="1" applyProtection="1">
      <alignment horizontal="center" vertical="center" wrapText="1"/>
      <protection hidden="1"/>
    </xf>
    <xf numFmtId="0" fontId="25" fillId="7" borderId="27" xfId="0" applyFont="1" applyFill="1" applyBorder="1" applyAlignment="1">
      <alignment horizontal="left" vertical="top" wrapText="1"/>
    </xf>
    <xf numFmtId="0" fontId="23" fillId="7" borderId="27" xfId="0" applyFont="1" applyFill="1" applyBorder="1" applyAlignment="1">
      <alignment horizontal="left" vertical="top" wrapText="1"/>
    </xf>
    <xf numFmtId="0" fontId="25" fillId="7" borderId="71" xfId="0" applyFont="1" applyFill="1" applyBorder="1" applyAlignment="1">
      <alignment horizontal="left" vertical="top" wrapText="1"/>
    </xf>
    <xf numFmtId="0" fontId="23" fillId="7" borderId="92" xfId="0" applyFont="1" applyFill="1" applyBorder="1" applyAlignment="1" applyProtection="1">
      <alignment horizontal="center" vertical="center" textRotation="90" wrapText="1"/>
      <protection hidden="1"/>
    </xf>
    <xf numFmtId="0" fontId="23" fillId="7" borderId="93" xfId="0" applyFont="1" applyFill="1" applyBorder="1" applyAlignment="1" applyProtection="1">
      <alignment horizontal="center" vertical="center" textRotation="90" wrapText="1"/>
      <protection hidden="1"/>
    </xf>
    <xf numFmtId="0" fontId="23" fillId="7" borderId="92" xfId="0" applyFont="1" applyFill="1" applyBorder="1" applyAlignment="1">
      <alignment horizontal="center" vertical="center" textRotation="90" wrapText="1"/>
    </xf>
    <xf numFmtId="0" fontId="23" fillId="7" borderId="93" xfId="0" applyFont="1" applyFill="1" applyBorder="1" applyAlignment="1">
      <alignment horizontal="center" vertical="center" textRotation="90" wrapText="1"/>
    </xf>
    <xf numFmtId="0" fontId="23" fillId="7" borderId="0" xfId="0" applyFont="1" applyFill="1" applyAlignment="1">
      <alignment horizontal="center" vertical="center"/>
    </xf>
    <xf numFmtId="0" fontId="20" fillId="0" borderId="70" xfId="0" applyFont="1" applyBorder="1" applyAlignment="1">
      <alignment horizontal="justify" vertical="top" wrapText="1"/>
    </xf>
    <xf numFmtId="0" fontId="20" fillId="0" borderId="1" xfId="0" applyFont="1" applyBorder="1" applyAlignment="1">
      <alignment horizontal="justify" vertical="top" wrapText="1"/>
    </xf>
    <xf numFmtId="0" fontId="20" fillId="0" borderId="69" xfId="0" applyFont="1" applyBorder="1" applyAlignment="1">
      <alignment horizontal="justify" vertical="top" wrapText="1"/>
    </xf>
    <xf numFmtId="0" fontId="23" fillId="7" borderId="27" xfId="0" applyFont="1" applyFill="1" applyBorder="1" applyAlignment="1">
      <alignment horizontal="center" vertical="center"/>
    </xf>
    <xf numFmtId="0" fontId="20" fillId="0" borderId="68" xfId="0" applyFont="1" applyBorder="1" applyAlignment="1">
      <alignment horizontal="justify" vertical="top" wrapText="1"/>
    </xf>
    <xf numFmtId="0" fontId="23" fillId="7" borderId="27" xfId="0" applyFont="1" applyFill="1" applyBorder="1" applyAlignment="1">
      <alignment horizontal="center" vertical="center" wrapText="1"/>
    </xf>
    <xf numFmtId="0" fontId="23" fillId="7" borderId="27"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protection locked="0"/>
    </xf>
    <xf numFmtId="0" fontId="23" fillId="7" borderId="27" xfId="0" applyFont="1" applyFill="1" applyBorder="1" applyAlignment="1" applyProtection="1">
      <alignment horizontal="center" vertical="center" textRotation="90" wrapText="1"/>
      <protection locked="0"/>
    </xf>
    <xf numFmtId="0" fontId="20" fillId="0" borderId="3" xfId="0" applyFont="1" applyBorder="1" applyAlignment="1">
      <alignment horizontal="justify" vertical="top" wrapText="1"/>
    </xf>
    <xf numFmtId="0" fontId="23" fillId="7" borderId="27" xfId="0" applyFont="1" applyFill="1" applyBorder="1" applyAlignment="1">
      <alignment horizontal="center" vertical="center" textRotation="90" wrapText="1"/>
    </xf>
    <xf numFmtId="0" fontId="18" fillId="0" borderId="129" xfId="0" applyFont="1" applyBorder="1" applyAlignment="1">
      <alignment horizontal="left" vertical="top" wrapText="1"/>
    </xf>
    <xf numFmtId="0" fontId="18" fillId="0" borderId="130" xfId="0" applyFont="1" applyBorder="1" applyAlignment="1">
      <alignment horizontal="left" vertical="top" wrapText="1"/>
    </xf>
    <xf numFmtId="0" fontId="18" fillId="0" borderId="131" xfId="0" applyFont="1" applyBorder="1" applyAlignment="1">
      <alignment horizontal="left" vertical="top" wrapText="1"/>
    </xf>
    <xf numFmtId="0" fontId="18" fillId="0" borderId="64" xfId="0" applyFont="1" applyBorder="1" applyAlignment="1">
      <alignment horizontal="justify" vertical="top" wrapText="1"/>
    </xf>
    <xf numFmtId="0" fontId="18" fillId="0" borderId="25" xfId="0" applyFont="1" applyBorder="1" applyAlignment="1">
      <alignment horizontal="justify" vertical="top" wrapText="1"/>
    </xf>
    <xf numFmtId="0" fontId="18" fillId="0" borderId="26" xfId="0" applyFont="1" applyBorder="1" applyAlignment="1">
      <alignment horizontal="justify" vertical="top" wrapText="1"/>
    </xf>
    <xf numFmtId="0" fontId="20" fillId="0" borderId="64" xfId="0" applyFont="1" applyBorder="1" applyAlignment="1">
      <alignment horizontal="justify" vertical="top" wrapText="1"/>
    </xf>
    <xf numFmtId="0" fontId="20" fillId="0" borderId="25" xfId="0" applyFont="1" applyBorder="1" applyAlignment="1">
      <alignment horizontal="justify" vertical="top" wrapText="1"/>
    </xf>
    <xf numFmtId="0" fontId="20" fillId="0" borderId="26" xfId="0" applyFont="1" applyBorder="1" applyAlignment="1">
      <alignment horizontal="justify" vertical="top" wrapText="1"/>
    </xf>
    <xf numFmtId="0" fontId="20" fillId="0" borderId="2" xfId="0" applyFont="1" applyBorder="1" applyAlignment="1">
      <alignment horizontal="left" vertical="top" wrapText="1"/>
    </xf>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23" fillId="7" borderId="65" xfId="0" applyFont="1" applyFill="1" applyBorder="1" applyAlignment="1">
      <alignment horizontal="center" vertical="center" wrapText="1"/>
    </xf>
    <xf numFmtId="0" fontId="23" fillId="7" borderId="66" xfId="0" applyFont="1" applyFill="1" applyBorder="1" applyAlignment="1">
      <alignment horizontal="center" vertical="center" wrapText="1"/>
    </xf>
    <xf numFmtId="0" fontId="23" fillId="7" borderId="67" xfId="0" applyFont="1" applyFill="1" applyBorder="1" applyAlignment="1">
      <alignment horizontal="center" vertical="center" wrapText="1"/>
    </xf>
    <xf numFmtId="0" fontId="20" fillId="20" borderId="17" xfId="0" applyFont="1" applyFill="1" applyBorder="1" applyAlignment="1" applyProtection="1">
      <alignment horizontal="left" vertical="center"/>
      <protection locked="0"/>
    </xf>
    <xf numFmtId="0" fontId="20" fillId="20" borderId="12" xfId="0" applyFont="1" applyFill="1" applyBorder="1" applyAlignment="1" applyProtection="1">
      <alignment horizontal="left" vertical="center"/>
      <protection locked="0"/>
    </xf>
    <xf numFmtId="0" fontId="20" fillId="20" borderId="19" xfId="0" applyFont="1" applyFill="1" applyBorder="1" applyAlignment="1" applyProtection="1">
      <alignment horizontal="left" vertical="center"/>
      <protection locked="0"/>
    </xf>
    <xf numFmtId="0" fontId="23" fillId="0" borderId="0" xfId="0" applyFont="1" applyAlignment="1">
      <alignment horizontal="left" vertical="center" wrapText="1"/>
    </xf>
    <xf numFmtId="0" fontId="23" fillId="7" borderId="65" xfId="0" applyFont="1" applyFill="1" applyBorder="1" applyAlignment="1" applyProtection="1">
      <alignment horizontal="center" vertical="center" wrapText="1"/>
      <protection locked="0"/>
    </xf>
    <xf numFmtId="0" fontId="23" fillId="7" borderId="66" xfId="0" applyFont="1" applyFill="1" applyBorder="1" applyAlignment="1" applyProtection="1">
      <alignment horizontal="center" vertical="center" wrapText="1"/>
      <protection locked="0"/>
    </xf>
    <xf numFmtId="0" fontId="23" fillId="7" borderId="67" xfId="0" applyFont="1" applyFill="1" applyBorder="1" applyAlignment="1" applyProtection="1">
      <alignment horizontal="center" vertical="center" wrapText="1"/>
      <protection locked="0"/>
    </xf>
    <xf numFmtId="0" fontId="20" fillId="0" borderId="23" xfId="0" applyFont="1" applyBorder="1" applyAlignment="1" applyProtection="1">
      <alignment horizontal="left" vertical="center" wrapText="1"/>
      <protection locked="0"/>
    </xf>
    <xf numFmtId="0" fontId="20" fillId="0" borderId="24" xfId="0" applyFont="1" applyBorder="1" applyAlignment="1" applyProtection="1">
      <alignment horizontal="left" vertical="center" wrapText="1"/>
      <protection locked="0"/>
    </xf>
    <xf numFmtId="0" fontId="24" fillId="8" borderId="27" xfId="0" applyFont="1" applyFill="1" applyBorder="1" applyAlignment="1">
      <alignment horizontal="left" vertical="center" wrapText="1"/>
    </xf>
    <xf numFmtId="0" fontId="23" fillId="8" borderId="27" xfId="0" applyFont="1" applyFill="1" applyBorder="1" applyAlignment="1">
      <alignment horizontal="left" vertical="center" wrapText="1"/>
    </xf>
    <xf numFmtId="0" fontId="23" fillId="8" borderId="92" xfId="0" applyFont="1" applyFill="1" applyBorder="1" applyAlignment="1" applyProtection="1">
      <alignment horizontal="center" vertical="center" textRotation="90" wrapText="1"/>
      <protection hidden="1"/>
    </xf>
    <xf numFmtId="0" fontId="23" fillId="8" borderId="93" xfId="0" applyFont="1" applyFill="1" applyBorder="1" applyAlignment="1" applyProtection="1">
      <alignment horizontal="center" vertical="center" textRotation="90" wrapText="1"/>
      <protection hidden="1"/>
    </xf>
    <xf numFmtId="0" fontId="23" fillId="8" borderId="92" xfId="0" applyFont="1" applyFill="1" applyBorder="1" applyAlignment="1">
      <alignment horizontal="center" vertical="center" textRotation="90" wrapText="1"/>
    </xf>
    <xf numFmtId="0" fontId="23" fillId="8" borderId="93" xfId="0" applyFont="1" applyFill="1" applyBorder="1" applyAlignment="1">
      <alignment horizontal="center" vertical="center" textRotation="90" wrapText="1"/>
    </xf>
    <xf numFmtId="0" fontId="23" fillId="8" borderId="0" xfId="0" applyFont="1" applyFill="1" applyAlignment="1">
      <alignment horizontal="center" vertical="center"/>
    </xf>
    <xf numFmtId="0" fontId="23" fillId="8" borderId="27" xfId="0" applyFont="1" applyFill="1" applyBorder="1" applyAlignment="1">
      <alignment horizontal="center" vertical="center" wrapText="1"/>
    </xf>
    <xf numFmtId="0" fontId="23" fillId="8" borderId="27" xfId="0" applyFont="1" applyFill="1" applyBorder="1" applyAlignment="1">
      <alignment horizontal="center" vertical="center"/>
    </xf>
    <xf numFmtId="0" fontId="23" fillId="8" borderId="27" xfId="0" applyFont="1" applyFill="1" applyBorder="1" applyAlignment="1">
      <alignment horizontal="center" vertical="center" textRotation="90" wrapText="1"/>
    </xf>
    <xf numFmtId="0" fontId="23" fillId="8" borderId="65" xfId="0" applyFont="1" applyFill="1" applyBorder="1" applyAlignment="1">
      <alignment horizontal="center" vertical="center" wrapText="1"/>
    </xf>
    <xf numFmtId="0" fontId="23" fillId="8" borderId="66" xfId="0" applyFont="1" applyFill="1" applyBorder="1" applyAlignment="1">
      <alignment horizontal="center" vertical="center" wrapText="1"/>
    </xf>
    <xf numFmtId="0" fontId="23" fillId="8" borderId="67" xfId="0" applyFont="1" applyFill="1" applyBorder="1" applyAlignment="1">
      <alignment horizontal="center" vertical="center" wrapText="1"/>
    </xf>
    <xf numFmtId="0" fontId="23" fillId="8" borderId="27" xfId="0" applyFont="1" applyFill="1" applyBorder="1" applyAlignment="1" applyProtection="1">
      <alignment horizontal="center" vertical="center"/>
      <protection locked="0"/>
    </xf>
    <xf numFmtId="0" fontId="20" fillId="2" borderId="161" xfId="0" applyFont="1" applyFill="1" applyBorder="1" applyAlignment="1" applyProtection="1">
      <alignment horizontal="left" vertical="center" wrapText="1"/>
      <protection locked="0"/>
    </xf>
    <xf numFmtId="0" fontId="20" fillId="2" borderId="105" xfId="0" applyFont="1" applyFill="1" applyBorder="1" applyAlignment="1" applyProtection="1">
      <alignment horizontal="left" vertical="center"/>
      <protection locked="0"/>
    </xf>
    <xf numFmtId="0" fontId="18" fillId="0" borderId="41" xfId="0" quotePrefix="1" applyFont="1" applyBorder="1" applyAlignment="1">
      <alignmen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23" fillId="8" borderId="27" xfId="0" applyFont="1" applyFill="1" applyBorder="1" applyAlignment="1" applyProtection="1">
      <alignment horizontal="center" vertical="center" textRotation="90" wrapText="1"/>
      <protection locked="0"/>
    </xf>
    <xf numFmtId="0" fontId="23" fillId="8" borderId="65" xfId="0" applyFont="1" applyFill="1" applyBorder="1" applyAlignment="1" applyProtection="1">
      <alignment horizontal="center" vertical="center" wrapText="1"/>
      <protection locked="0"/>
    </xf>
    <xf numFmtId="0" fontId="23" fillId="8" borderId="66" xfId="0" applyFont="1" applyFill="1" applyBorder="1" applyAlignment="1" applyProtection="1">
      <alignment horizontal="center" vertical="center" wrapText="1"/>
      <protection locked="0"/>
    </xf>
    <xf numFmtId="0" fontId="23" fillId="8" borderId="67" xfId="0" applyFont="1" applyFill="1" applyBorder="1" applyAlignment="1" applyProtection="1">
      <alignment horizontal="center" vertical="center" wrapText="1"/>
      <protection locked="0"/>
    </xf>
    <xf numFmtId="167" fontId="23" fillId="0" borderId="0" xfId="0" applyNumberFormat="1" applyFont="1" applyAlignment="1">
      <alignment horizontal="center" vertical="center" textRotation="90" wrapText="1"/>
    </xf>
    <xf numFmtId="167" fontId="24" fillId="0" borderId="0" xfId="0" applyNumberFormat="1" applyFont="1" applyAlignment="1" applyProtection="1">
      <alignment horizontal="center" vertical="center" wrapText="1"/>
      <protection hidden="1"/>
    </xf>
    <xf numFmtId="167" fontId="23" fillId="0" borderId="0" xfId="0" applyNumberFormat="1" applyFont="1" applyAlignment="1" applyProtection="1">
      <alignment horizontal="center" vertical="center" textRotation="90" wrapText="1"/>
      <protection hidden="1"/>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33" fillId="18" borderId="94" xfId="3" applyFont="1" applyFill="1" applyBorder="1" applyAlignment="1">
      <alignment horizontal="center" vertical="center"/>
    </xf>
    <xf numFmtId="0" fontId="33" fillId="18" borderId="95" xfId="3" applyFont="1" applyFill="1" applyBorder="1" applyAlignment="1">
      <alignment horizontal="center" vertical="center"/>
    </xf>
    <xf numFmtId="0" fontId="33" fillId="18" borderId="120" xfId="3" applyFont="1" applyFill="1" applyBorder="1" applyAlignment="1">
      <alignment horizontal="center" vertical="center"/>
    </xf>
    <xf numFmtId="0" fontId="32" fillId="18" borderId="128" xfId="3" applyFont="1" applyFill="1" applyBorder="1" applyAlignment="1">
      <alignment horizontal="center" vertical="center" wrapText="1"/>
    </xf>
    <xf numFmtId="0" fontId="32" fillId="18" borderId="125" xfId="3" applyFont="1" applyFill="1" applyBorder="1" applyAlignment="1">
      <alignment horizontal="center" vertical="center" wrapText="1"/>
    </xf>
    <xf numFmtId="9" fontId="41" fillId="2" borderId="64" xfId="3" applyNumberFormat="1" applyFont="1" applyFill="1" applyBorder="1" applyAlignment="1" applyProtection="1">
      <alignment horizontal="center" vertical="center"/>
      <protection hidden="1"/>
    </xf>
    <xf numFmtId="9" fontId="41" fillId="2" borderId="25" xfId="3" applyNumberFormat="1" applyFont="1" applyFill="1" applyBorder="1" applyAlignment="1" applyProtection="1">
      <alignment horizontal="center" vertical="center"/>
      <protection hidden="1"/>
    </xf>
    <xf numFmtId="9" fontId="41" fillId="2" borderId="3" xfId="3" applyNumberFormat="1" applyFont="1" applyFill="1" applyBorder="1" applyAlignment="1" applyProtection="1">
      <alignment horizontal="center" vertical="center"/>
      <protection hidden="1"/>
    </xf>
    <xf numFmtId="9" fontId="41" fillId="2" borderId="2" xfId="3" applyNumberFormat="1" applyFont="1" applyFill="1" applyBorder="1" applyAlignment="1" applyProtection="1">
      <alignment horizontal="center" vertical="center"/>
      <protection hidden="1"/>
    </xf>
    <xf numFmtId="0" fontId="14" fillId="15" borderId="144" xfId="3" applyFont="1" applyFill="1" applyBorder="1" applyAlignment="1">
      <alignment horizontal="center" vertical="center"/>
    </xf>
    <xf numFmtId="0" fontId="14" fillId="15" borderId="72" xfId="3" applyFont="1" applyFill="1" applyBorder="1" applyAlignment="1">
      <alignment horizontal="center" vertical="center"/>
    </xf>
    <xf numFmtId="0" fontId="10" fillId="0" borderId="72" xfId="3" applyFont="1" applyBorder="1" applyAlignment="1">
      <alignment horizontal="justify" vertical="center" wrapText="1"/>
    </xf>
    <xf numFmtId="0" fontId="47" fillId="3" borderId="98" xfId="0" applyFont="1" applyFill="1" applyBorder="1" applyAlignment="1">
      <alignment horizontal="center" vertical="center"/>
    </xf>
    <xf numFmtId="0" fontId="47" fillId="3" borderId="99" xfId="0" applyFont="1" applyFill="1" applyBorder="1" applyAlignment="1">
      <alignment horizontal="center" vertical="center"/>
    </xf>
    <xf numFmtId="0" fontId="47" fillId="3" borderId="100" xfId="0" applyFont="1" applyFill="1" applyBorder="1" applyAlignment="1">
      <alignment horizontal="center" vertical="center"/>
    </xf>
    <xf numFmtId="0" fontId="33" fillId="3" borderId="152" xfId="3" applyFont="1" applyFill="1" applyBorder="1" applyAlignment="1">
      <alignment horizontal="center" vertical="center" wrapText="1"/>
    </xf>
    <xf numFmtId="0" fontId="33" fillId="3" borderId="153" xfId="3" applyFont="1" applyFill="1" applyBorder="1" applyAlignment="1">
      <alignment horizontal="center" vertical="center" wrapText="1"/>
    </xf>
    <xf numFmtId="0" fontId="14" fillId="16" borderId="149" xfId="3" applyFont="1" applyFill="1" applyBorder="1" applyAlignment="1">
      <alignment horizontal="center" vertical="center"/>
    </xf>
    <xf numFmtId="0" fontId="14" fillId="16" borderId="150" xfId="3" applyFont="1" applyFill="1" applyBorder="1" applyAlignment="1">
      <alignment horizontal="center" vertical="center"/>
    </xf>
    <xf numFmtId="0" fontId="10" fillId="0" borderId="150" xfId="3" applyFont="1" applyBorder="1" applyAlignment="1">
      <alignment horizontal="justify" vertical="center" wrapText="1"/>
    </xf>
    <xf numFmtId="0" fontId="33" fillId="3" borderId="154" xfId="3" applyFont="1" applyFill="1" applyBorder="1" applyAlignment="1">
      <alignment horizontal="center" vertical="center" wrapText="1"/>
    </xf>
    <xf numFmtId="0" fontId="10" fillId="0" borderId="151" xfId="3" applyFont="1" applyBorder="1" applyAlignment="1">
      <alignment horizontal="justify" vertical="center" wrapText="1"/>
    </xf>
    <xf numFmtId="0" fontId="10" fillId="0" borderId="145" xfId="3" applyFont="1" applyBorder="1" applyAlignment="1">
      <alignment horizontal="justify" vertical="center" wrapText="1"/>
    </xf>
    <xf numFmtId="0" fontId="14" fillId="13" borderId="146" xfId="3" applyFont="1" applyFill="1" applyBorder="1" applyAlignment="1">
      <alignment horizontal="center" vertical="center" wrapText="1"/>
    </xf>
    <xf numFmtId="0" fontId="14" fillId="13" borderId="147" xfId="3" applyFont="1" applyFill="1" applyBorder="1" applyAlignment="1">
      <alignment horizontal="center" vertical="center"/>
    </xf>
    <xf numFmtId="0" fontId="10" fillId="0" borderId="147" xfId="3" applyFont="1" applyBorder="1" applyAlignment="1">
      <alignment horizontal="justify" vertical="center" wrapText="1"/>
    </xf>
    <xf numFmtId="0" fontId="32" fillId="18" borderId="87" xfId="3" applyFont="1" applyFill="1" applyBorder="1" applyAlignment="1">
      <alignment horizontal="center" vertical="center" wrapText="1"/>
    </xf>
    <xf numFmtId="0" fontId="32" fillId="18" borderId="89" xfId="3" applyFont="1" applyFill="1" applyBorder="1" applyAlignment="1">
      <alignment horizontal="center" vertical="center" wrapText="1"/>
    </xf>
    <xf numFmtId="0" fontId="14" fillId="14" borderId="144" xfId="3" applyFont="1" applyFill="1" applyBorder="1" applyAlignment="1">
      <alignment horizontal="center" vertical="center" wrapText="1"/>
    </xf>
    <xf numFmtId="0" fontId="14" fillId="14" borderId="72" xfId="3" applyFont="1" applyFill="1" applyBorder="1" applyAlignment="1">
      <alignment horizontal="center" vertical="center"/>
    </xf>
    <xf numFmtId="0" fontId="32" fillId="3" borderId="17" xfId="3" applyFont="1" applyFill="1" applyBorder="1" applyAlignment="1">
      <alignment horizontal="center" vertical="center" wrapText="1"/>
    </xf>
    <xf numFmtId="0" fontId="32" fillId="3" borderId="24" xfId="3" applyFont="1" applyFill="1" applyBorder="1" applyAlignment="1">
      <alignment horizontal="center" vertical="center" wrapText="1"/>
    </xf>
    <xf numFmtId="0" fontId="10" fillId="0" borderId="148" xfId="3" applyFont="1" applyBorder="1" applyAlignment="1">
      <alignment horizontal="justify" vertical="center" wrapText="1"/>
    </xf>
    <xf numFmtId="0" fontId="31" fillId="2" borderId="0" xfId="0" applyFont="1" applyFill="1" applyAlignment="1" applyProtection="1">
      <alignment horizontal="left" vertical="center" wrapText="1"/>
      <protection locked="0"/>
    </xf>
    <xf numFmtId="0" fontId="32" fillId="3" borderId="16" xfId="3" applyFont="1" applyFill="1" applyBorder="1" applyAlignment="1">
      <alignment horizontal="center" vertical="center" wrapText="1"/>
    </xf>
    <xf numFmtId="0" fontId="32" fillId="3" borderId="15" xfId="3" applyFont="1" applyFill="1" applyBorder="1" applyAlignment="1">
      <alignment horizontal="center" vertical="center" wrapText="1"/>
    </xf>
    <xf numFmtId="0" fontId="32" fillId="3" borderId="74" xfId="3" applyFont="1" applyFill="1" applyBorder="1" applyAlignment="1">
      <alignment horizontal="center" vertical="center" wrapText="1"/>
    </xf>
    <xf numFmtId="0" fontId="32" fillId="3" borderId="75" xfId="3" applyFont="1" applyFill="1" applyBorder="1" applyAlignment="1">
      <alignment horizontal="center" vertical="center" wrapText="1"/>
    </xf>
    <xf numFmtId="0" fontId="32" fillId="3" borderId="76" xfId="3" applyFont="1" applyFill="1" applyBorder="1" applyAlignment="1">
      <alignment horizontal="center" vertical="center" wrapText="1"/>
    </xf>
    <xf numFmtId="0" fontId="32" fillId="3" borderId="22" xfId="3" applyFont="1" applyFill="1" applyBorder="1" applyAlignment="1">
      <alignment horizontal="center" vertical="center" wrapText="1"/>
    </xf>
    <xf numFmtId="0" fontId="32" fillId="3" borderId="18" xfId="3" applyFont="1" applyFill="1" applyBorder="1" applyAlignment="1">
      <alignment horizontal="center" vertical="center" wrapText="1"/>
    </xf>
    <xf numFmtId="0" fontId="32" fillId="3" borderId="20" xfId="3" applyFont="1" applyFill="1" applyBorder="1" applyAlignment="1">
      <alignment horizontal="center" vertical="center" wrapText="1"/>
    </xf>
    <xf numFmtId="49" fontId="56" fillId="2" borderId="53" xfId="0" applyNumberFormat="1" applyFont="1" applyFill="1" applyBorder="1" applyAlignment="1">
      <alignment horizontal="left" vertical="center" wrapText="1"/>
    </xf>
    <xf numFmtId="49" fontId="56" fillId="2" borderId="51" xfId="0" applyNumberFormat="1" applyFont="1" applyFill="1" applyBorder="1" applyAlignment="1">
      <alignment horizontal="left" vertical="center" wrapText="1"/>
    </xf>
    <xf numFmtId="0" fontId="40" fillId="3" borderId="44" xfId="0" applyFont="1" applyFill="1" applyBorder="1" applyAlignment="1">
      <alignment horizontal="center" vertical="center"/>
    </xf>
    <xf numFmtId="0" fontId="40" fillId="3" borderId="45" xfId="0" applyFont="1" applyFill="1" applyBorder="1" applyAlignment="1">
      <alignment horizontal="center" vertical="center"/>
    </xf>
    <xf numFmtId="0" fontId="40" fillId="3" borderId="46" xfId="0" applyFont="1" applyFill="1" applyBorder="1" applyAlignment="1">
      <alignment horizontal="center" vertical="center"/>
    </xf>
    <xf numFmtId="49" fontId="56" fillId="2" borderId="52" xfId="0" applyNumberFormat="1" applyFont="1" applyFill="1" applyBorder="1" applyAlignment="1">
      <alignment horizontal="left" vertical="center" wrapText="1"/>
    </xf>
    <xf numFmtId="49" fontId="56" fillId="2" borderId="50" xfId="0" applyNumberFormat="1" applyFont="1" applyFill="1" applyBorder="1" applyAlignment="1">
      <alignment horizontal="left" vertical="center" wrapText="1"/>
    </xf>
    <xf numFmtId="49" fontId="54" fillId="2" borderId="49" xfId="0" applyNumberFormat="1" applyFont="1" applyFill="1" applyBorder="1" applyAlignment="1" applyProtection="1">
      <alignment horizontal="left" vertical="center" wrapText="1"/>
      <protection locked="0"/>
    </xf>
    <xf numFmtId="49" fontId="54" fillId="2" borderId="155" xfId="0" applyNumberFormat="1" applyFont="1" applyFill="1" applyBorder="1" applyAlignment="1" applyProtection="1">
      <alignment horizontal="left" vertical="center" wrapText="1"/>
      <protection locked="0"/>
    </xf>
    <xf numFmtId="49" fontId="54" fillId="2" borderId="156" xfId="0" applyNumberFormat="1" applyFont="1" applyFill="1" applyBorder="1" applyAlignment="1" applyProtection="1">
      <alignment horizontal="left" vertical="center" wrapText="1"/>
      <protection locked="0"/>
    </xf>
    <xf numFmtId="0" fontId="61" fillId="2" borderId="1" xfId="0" applyFont="1" applyFill="1" applyBorder="1" applyAlignment="1" applyProtection="1">
      <alignment horizontal="center" vertical="center"/>
      <protection locked="0"/>
    </xf>
    <xf numFmtId="164" fontId="61" fillId="2" borderId="4" xfId="0" applyNumberFormat="1" applyFont="1" applyFill="1" applyBorder="1" applyAlignment="1" applyProtection="1">
      <alignment horizontal="center" vertical="center"/>
      <protection locked="0"/>
    </xf>
    <xf numFmtId="164" fontId="61" fillId="2" borderId="5" xfId="0" applyNumberFormat="1" applyFont="1" applyFill="1" applyBorder="1" applyAlignment="1" applyProtection="1">
      <alignment horizontal="center" vertical="center"/>
      <protection locked="0"/>
    </xf>
    <xf numFmtId="164" fontId="61" fillId="2" borderId="73" xfId="0" applyNumberFormat="1" applyFont="1" applyFill="1" applyBorder="1" applyAlignment="1" applyProtection="1">
      <alignment horizontal="center" vertical="center"/>
      <protection locked="0"/>
    </xf>
    <xf numFmtId="0" fontId="60" fillId="3" borderId="2" xfId="0" applyFont="1" applyFill="1" applyBorder="1" applyAlignment="1">
      <alignment horizontal="center" vertical="center" wrapText="1"/>
    </xf>
    <xf numFmtId="0" fontId="60" fillId="3" borderId="3" xfId="0" applyFont="1" applyFill="1" applyBorder="1" applyAlignment="1">
      <alignment horizontal="center" vertical="center" wrapText="1"/>
    </xf>
    <xf numFmtId="0" fontId="59" fillId="3" borderId="98" xfId="0" applyFont="1" applyFill="1" applyBorder="1" applyAlignment="1">
      <alignment horizontal="center" vertical="center" wrapText="1"/>
    </xf>
    <xf numFmtId="0" fontId="59" fillId="3" borderId="99" xfId="0" applyFont="1" applyFill="1" applyBorder="1" applyAlignment="1">
      <alignment horizontal="center" vertical="center" wrapText="1"/>
    </xf>
    <xf numFmtId="0" fontId="59" fillId="3" borderId="100" xfId="0" applyFont="1" applyFill="1" applyBorder="1" applyAlignment="1">
      <alignment horizontal="center" vertical="center" wrapText="1"/>
    </xf>
  </cellXfs>
  <cellStyles count="7">
    <cellStyle name="Hipervínculo" xfId="2" builtinId="8"/>
    <cellStyle name="Normal" xfId="0" builtinId="0"/>
    <cellStyle name="Normal - Style1 2" xfId="4"/>
    <cellStyle name="Normal 2" xfId="3"/>
    <cellStyle name="Normal 2 2" xfId="5"/>
    <cellStyle name="Porcentaje" xfId="6" builtinId="5"/>
    <cellStyle name="table_head1" xfId="1"/>
  </cellStyles>
  <dxfs count="5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ont>
        <color rgb="FF9C0006"/>
      </font>
    </dxf>
    <dxf>
      <font>
        <color rgb="FF9C6500"/>
      </font>
      <fill>
        <patternFill>
          <bgColor rgb="FFFFEB9C"/>
        </patternFill>
      </fill>
    </dxf>
  </dxfs>
  <tableStyles count="0" defaultTableStyle="TableStyleMedium9" defaultPivotStyle="PivotStyleLight16"/>
  <colors>
    <mruColors>
      <color rgb="FFF7C435"/>
      <color rgb="FFFF9900"/>
      <color rgb="FF83A343"/>
      <color rgb="FFFFCC00"/>
      <color rgb="FF2E3917"/>
      <color rgb="FF262F13"/>
      <color rgb="FFF9D367"/>
      <color rgb="FF003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1765300</xdr:colOff>
      <xdr:row>0</xdr:row>
      <xdr:rowOff>0</xdr:rowOff>
    </xdr:from>
    <xdr:to>
      <xdr:col>7</xdr:col>
      <xdr:colOff>2204378</xdr:colOff>
      <xdr:row>16</xdr:row>
      <xdr:rowOff>4250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191500" y="0"/>
          <a:ext cx="3966503" cy="225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1685925</xdr:colOff>
      <xdr:row>0</xdr:row>
      <xdr:rowOff>0</xdr:rowOff>
    </xdr:from>
    <xdr:to>
      <xdr:col>7</xdr:col>
      <xdr:colOff>2174864</xdr:colOff>
      <xdr:row>7</xdr:row>
      <xdr:rowOff>128941</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7534275" y="0"/>
          <a:ext cx="3958421" cy="21863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2809875</xdr:colOff>
      <xdr:row>0</xdr:row>
      <xdr:rowOff>47625</xdr:rowOff>
    </xdr:from>
    <xdr:to>
      <xdr:col>7</xdr:col>
      <xdr:colOff>246052</xdr:colOff>
      <xdr:row>13</xdr:row>
      <xdr:rowOff>157516</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819775" y="47625"/>
          <a:ext cx="3958421" cy="21863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640773</xdr:colOff>
      <xdr:row>0</xdr:row>
      <xdr:rowOff>43296</xdr:rowOff>
    </xdr:from>
    <xdr:to>
      <xdr:col>6</xdr:col>
      <xdr:colOff>208073</xdr:colOff>
      <xdr:row>9</xdr:row>
      <xdr:rowOff>331373</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5870864" y="43296"/>
          <a:ext cx="3957459" cy="235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152400</xdr:colOff>
      <xdr:row>0</xdr:row>
      <xdr:rowOff>0</xdr:rowOff>
    </xdr:from>
    <xdr:to>
      <xdr:col>7</xdr:col>
      <xdr:colOff>628471</xdr:colOff>
      <xdr:row>12</xdr:row>
      <xdr:rowOff>63806</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6000750" y="0"/>
          <a:ext cx="3957459" cy="2149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2571" y="1726100"/>
          <a:ext cx="4395107" cy="2404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apienciagov-my.sharepoint.com/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apienciagov-my.sharepoint.com/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sapienciagov-my.sharepoint.com/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sapienciagov-my.sharepoint.com/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sapienciagov-my.sharepoint.com/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sapienciagov-my.sharepoint.com/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sapienciagov-my.sharepoint.com/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sapienciagov-my.sharepoint.com/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sapienciagov-my.sharepoint.com/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pienciagov-my.sharepoint.com/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sapienciagov-my.sharepoint.com/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sapienciagov-my.sharepoint.com/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sapienciagov-my.sharepoint.com/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apienciagov-my.sharepoint.com/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apienciagov-my.sharepoint.com/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apienciagov-my.sharepoint.com/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apienciagov-my.sharepoint.com/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topLeftCell="A7" zoomScale="90" zoomScaleNormal="90" workbookViewId="0">
      <selection activeCell="H19" sqref="H19"/>
    </sheetView>
  </sheetViews>
  <sheetFormatPr baseColWidth="10" defaultColWidth="0" defaultRowHeight="0" customHeight="1" zeroHeight="1" x14ac:dyDescent="0.2"/>
  <cols>
    <col min="1" max="1" width="3.85546875" style="4" customWidth="1"/>
    <col min="2" max="2" width="15.28515625" style="4" customWidth="1"/>
    <col min="3" max="3" width="17.28515625" style="4" customWidth="1"/>
    <col min="4" max="4" width="28.5703125" style="4" customWidth="1"/>
    <col min="5" max="5" width="12.85546875" style="4" customWidth="1"/>
    <col min="6" max="6" width="47.140625" style="4" customWidth="1"/>
    <col min="7" max="7" width="21.42578125" style="4" customWidth="1"/>
    <col min="8" max="8" width="6.5703125" style="4" customWidth="1"/>
    <col min="9" max="9" width="2.5703125" style="4" customWidth="1"/>
    <col min="10" max="16384" width="11.42578125" style="4" hidden="1"/>
  </cols>
  <sheetData>
    <row r="1" spans="1:8" ht="13.5" thickBot="1" x14ac:dyDescent="0.25"/>
    <row r="2" spans="1:8" ht="73.5" customHeight="1" x14ac:dyDescent="0.2">
      <c r="A2" s="4" t="e">
        <f>+A2:H15E15A2:H13A2:H19E15A2:H13A2:H26E15A2:H13A2A2:H35</f>
        <v>#NAME?</v>
      </c>
      <c r="B2" s="282" t="s">
        <v>0</v>
      </c>
      <c r="C2" s="283"/>
      <c r="D2" s="283"/>
      <c r="E2" s="283"/>
      <c r="F2" s="283"/>
      <c r="G2" s="283"/>
      <c r="H2" s="284"/>
    </row>
    <row r="3" spans="1:8" ht="12.75" x14ac:dyDescent="0.2">
      <c r="B3" s="67"/>
      <c r="H3" s="68"/>
    </row>
    <row r="4" spans="1:8" ht="12.75" x14ac:dyDescent="0.2">
      <c r="B4" s="67"/>
      <c r="H4" s="68"/>
    </row>
    <row r="5" spans="1:8" ht="12.75" x14ac:dyDescent="0.2">
      <c r="B5" s="69"/>
      <c r="C5" s="5"/>
      <c r="D5" s="5"/>
      <c r="E5" s="5"/>
      <c r="F5" s="5"/>
      <c r="G5" s="5"/>
      <c r="H5" s="70"/>
    </row>
    <row r="6" spans="1:8" ht="65.25" customHeight="1" x14ac:dyDescent="0.2">
      <c r="B6" s="285" t="s">
        <v>1</v>
      </c>
      <c r="C6" s="286"/>
      <c r="D6" s="286"/>
      <c r="E6" s="286"/>
      <c r="F6" s="286"/>
      <c r="G6" s="286"/>
      <c r="H6" s="287"/>
    </row>
    <row r="7" spans="1:8" ht="74.25" customHeight="1" x14ac:dyDescent="0.2">
      <c r="B7" s="285"/>
      <c r="C7" s="286"/>
      <c r="D7" s="286"/>
      <c r="E7" s="286"/>
      <c r="F7" s="286"/>
      <c r="G7" s="286"/>
      <c r="H7" s="287"/>
    </row>
    <row r="8" spans="1:8" ht="21.75" customHeight="1" x14ac:dyDescent="0.2">
      <c r="B8" s="288" t="s">
        <v>2</v>
      </c>
      <c r="C8" s="289"/>
      <c r="D8" s="289"/>
      <c r="E8" s="289"/>
      <c r="F8" s="289"/>
      <c r="G8" s="289"/>
      <c r="H8" s="290"/>
    </row>
    <row r="9" spans="1:8" ht="42" customHeight="1" x14ac:dyDescent="0.2">
      <c r="B9" s="255" t="s">
        <v>3</v>
      </c>
      <c r="C9" s="256"/>
      <c r="D9" s="256"/>
      <c r="E9" s="256"/>
      <c r="F9" s="256"/>
      <c r="G9" s="256"/>
      <c r="H9" s="257"/>
    </row>
    <row r="10" spans="1:8" ht="43.5" customHeight="1" x14ac:dyDescent="0.2">
      <c r="B10" s="255"/>
      <c r="C10" s="256"/>
      <c r="D10" s="256"/>
      <c r="E10" s="256"/>
      <c r="F10" s="256"/>
      <c r="G10" s="256"/>
      <c r="H10" s="257"/>
    </row>
    <row r="11" spans="1:8" ht="12.75" customHeight="1" thickBot="1" x14ac:dyDescent="0.25">
      <c r="B11" s="67"/>
      <c r="D11" s="6"/>
      <c r="E11" s="7"/>
      <c r="F11" s="7"/>
      <c r="G11" s="8"/>
      <c r="H11" s="68"/>
    </row>
    <row r="12" spans="1:8" ht="21" customHeight="1" thickTop="1" x14ac:dyDescent="0.2">
      <c r="B12" s="67"/>
      <c r="C12" s="270" t="s">
        <v>4</v>
      </c>
      <c r="D12" s="271"/>
      <c r="E12" s="258" t="s">
        <v>5</v>
      </c>
      <c r="F12" s="259"/>
      <c r="H12" s="68"/>
    </row>
    <row r="13" spans="1:8" ht="37.5" customHeight="1" x14ac:dyDescent="0.2">
      <c r="B13" s="67"/>
      <c r="C13" s="268" t="s">
        <v>6</v>
      </c>
      <c r="D13" s="269"/>
      <c r="E13" s="260" t="s">
        <v>7</v>
      </c>
      <c r="F13" s="261"/>
      <c r="H13" s="68"/>
    </row>
    <row r="14" spans="1:8" ht="39.75" customHeight="1" x14ac:dyDescent="0.2">
      <c r="B14" s="67"/>
      <c r="C14" s="266" t="s">
        <v>8</v>
      </c>
      <c r="D14" s="267"/>
      <c r="E14" s="264" t="s">
        <v>9</v>
      </c>
      <c r="F14" s="265"/>
      <c r="H14" s="68"/>
    </row>
    <row r="15" spans="1:8" ht="230.25" customHeight="1" x14ac:dyDescent="0.2">
      <c r="B15" s="67"/>
      <c r="C15" s="266" t="s">
        <v>10</v>
      </c>
      <c r="D15" s="267"/>
      <c r="E15" s="264" t="s">
        <v>11</v>
      </c>
      <c r="F15" s="265"/>
      <c r="H15" s="68"/>
    </row>
    <row r="16" spans="1:8" ht="15.75" customHeight="1" x14ac:dyDescent="0.2">
      <c r="B16" s="67"/>
      <c r="C16" s="293" t="s">
        <v>12</v>
      </c>
      <c r="D16" s="15" t="s">
        <v>13</v>
      </c>
      <c r="E16" s="264" t="s">
        <v>14</v>
      </c>
      <c r="F16" s="265"/>
      <c r="H16" s="68"/>
    </row>
    <row r="17" spans="2:8" ht="54" customHeight="1" x14ac:dyDescent="0.2">
      <c r="B17" s="67"/>
      <c r="C17" s="294"/>
      <c r="D17" s="43" t="s">
        <v>15</v>
      </c>
      <c r="E17" s="272" t="s">
        <v>16</v>
      </c>
      <c r="F17" s="273"/>
      <c r="H17" s="68"/>
    </row>
    <row r="18" spans="2:8" ht="98.25" customHeight="1" x14ac:dyDescent="0.2">
      <c r="B18" s="67"/>
      <c r="C18" s="294"/>
      <c r="D18" s="43" t="s">
        <v>17</v>
      </c>
      <c r="E18" s="272" t="s">
        <v>18</v>
      </c>
      <c r="F18" s="273"/>
      <c r="H18" s="68"/>
    </row>
    <row r="19" spans="2:8" ht="83.25" customHeight="1" thickBot="1" x14ac:dyDescent="0.25">
      <c r="B19" s="67"/>
      <c r="C19" s="295" t="s">
        <v>19</v>
      </c>
      <c r="D19" s="296"/>
      <c r="E19" s="262" t="s">
        <v>20</v>
      </c>
      <c r="F19" s="263"/>
      <c r="H19" s="68"/>
    </row>
    <row r="20" spans="2:8" ht="19.5" customHeight="1" thickTop="1" x14ac:dyDescent="0.2">
      <c r="B20" s="67"/>
      <c r="C20" s="9"/>
      <c r="D20" s="9"/>
      <c r="E20" s="10"/>
      <c r="F20" s="10"/>
      <c r="H20" s="68"/>
    </row>
    <row r="21" spans="2:8" ht="37.5" customHeight="1" x14ac:dyDescent="0.2">
      <c r="B21" s="278" t="s">
        <v>21</v>
      </c>
      <c r="C21" s="279"/>
      <c r="D21" s="279"/>
      <c r="E21" s="279"/>
      <c r="F21" s="279"/>
      <c r="G21" s="279"/>
      <c r="H21" s="280"/>
    </row>
    <row r="22" spans="2:8" ht="27.75" customHeight="1" x14ac:dyDescent="0.2">
      <c r="B22" s="67"/>
      <c r="H22" s="68"/>
    </row>
    <row r="23" spans="2:8" ht="27.75" customHeight="1" x14ac:dyDescent="0.2">
      <c r="B23" s="67"/>
      <c r="C23" s="152" t="s">
        <v>22</v>
      </c>
      <c r="D23" s="297" t="s">
        <v>5</v>
      </c>
      <c r="E23" s="297"/>
      <c r="F23" s="297" t="s">
        <v>23</v>
      </c>
      <c r="G23" s="297"/>
      <c r="H23" s="68"/>
    </row>
    <row r="24" spans="2:8" ht="59.25" customHeight="1" x14ac:dyDescent="0.2">
      <c r="B24" s="67"/>
      <c r="C24" s="92" t="s">
        <v>24</v>
      </c>
      <c r="D24" s="274" t="s">
        <v>25</v>
      </c>
      <c r="E24" s="274"/>
      <c r="F24" s="274" t="s">
        <v>26</v>
      </c>
      <c r="G24" s="274"/>
      <c r="H24" s="68"/>
    </row>
    <row r="25" spans="2:8" ht="53.25" customHeight="1" x14ac:dyDescent="0.2">
      <c r="B25" s="67"/>
      <c r="C25" s="93" t="s">
        <v>27</v>
      </c>
      <c r="D25" s="274" t="s">
        <v>28</v>
      </c>
      <c r="E25" s="274"/>
      <c r="F25" s="274" t="s">
        <v>29</v>
      </c>
      <c r="G25" s="274"/>
      <c r="H25" s="68"/>
    </row>
    <row r="26" spans="2:8" ht="62.25" customHeight="1" x14ac:dyDescent="0.2">
      <c r="B26" s="67"/>
      <c r="C26" s="94" t="s">
        <v>30</v>
      </c>
      <c r="D26" s="274" t="s">
        <v>31</v>
      </c>
      <c r="E26" s="274"/>
      <c r="F26" s="274" t="s">
        <v>32</v>
      </c>
      <c r="G26" s="274"/>
      <c r="H26" s="68"/>
    </row>
    <row r="27" spans="2:8" ht="70.5" customHeight="1" x14ac:dyDescent="0.2">
      <c r="B27" s="67"/>
      <c r="C27" s="95" t="s">
        <v>33</v>
      </c>
      <c r="D27" s="274" t="s">
        <v>34</v>
      </c>
      <c r="E27" s="274"/>
      <c r="F27" s="274" t="s">
        <v>35</v>
      </c>
      <c r="G27" s="274"/>
      <c r="H27" s="68"/>
    </row>
    <row r="28" spans="2:8" ht="11.25" customHeight="1" x14ac:dyDescent="0.2">
      <c r="B28" s="71"/>
      <c r="C28" s="66"/>
      <c r="D28" s="66"/>
      <c r="E28" s="66"/>
      <c r="F28" s="66"/>
      <c r="G28" s="66"/>
      <c r="H28" s="72"/>
    </row>
    <row r="29" spans="2:8" ht="14.25" customHeight="1" x14ac:dyDescent="0.2">
      <c r="B29" s="153"/>
      <c r="C29" s="291"/>
      <c r="D29" s="291"/>
      <c r="E29" s="292"/>
      <c r="F29" s="292"/>
      <c r="G29" s="292"/>
      <c r="H29" s="154"/>
    </row>
    <row r="30" spans="2:8" ht="27.75" customHeight="1" x14ac:dyDescent="0.2">
      <c r="B30" s="278" t="s">
        <v>36</v>
      </c>
      <c r="C30" s="279"/>
      <c r="D30" s="279"/>
      <c r="E30" s="279"/>
      <c r="F30" s="279"/>
      <c r="G30" s="279"/>
      <c r="H30" s="280"/>
    </row>
    <row r="31" spans="2:8" ht="13.5" x14ac:dyDescent="0.2">
      <c r="B31" s="67"/>
      <c r="C31" s="11"/>
      <c r="D31" s="11"/>
      <c r="E31" s="281"/>
      <c r="F31" s="281"/>
      <c r="H31" s="68"/>
    </row>
    <row r="32" spans="2:8" ht="16.5" x14ac:dyDescent="0.2">
      <c r="B32" s="275" t="s">
        <v>37</v>
      </c>
      <c r="C32" s="276"/>
      <c r="D32" s="276"/>
      <c r="E32" s="276"/>
      <c r="F32" s="276"/>
      <c r="G32" s="276"/>
      <c r="H32" s="277"/>
    </row>
    <row r="33" spans="2:8" ht="13.5" thickBot="1" x14ac:dyDescent="0.25">
      <c r="B33" s="73"/>
      <c r="C33" s="74"/>
      <c r="D33" s="74"/>
      <c r="E33" s="74"/>
      <c r="F33" s="74"/>
      <c r="G33" s="74"/>
      <c r="H33" s="75"/>
    </row>
    <row r="34" spans="2:8" ht="12.75" x14ac:dyDescent="0.2"/>
    <row r="35" spans="2:8" ht="29.25" customHeight="1" x14ac:dyDescent="0.2"/>
    <row r="36" spans="2:8" ht="26.25" customHeight="1" x14ac:dyDescent="0.2"/>
    <row r="37" spans="2:8" ht="43.5" customHeight="1" x14ac:dyDescent="0.2"/>
    <row r="38" spans="2:8" ht="53.25" customHeight="1" x14ac:dyDescent="0.2"/>
    <row r="39" spans="2:8" ht="12.75" x14ac:dyDescent="0.2"/>
    <row r="40" spans="2:8" ht="12.75" x14ac:dyDescent="0.2"/>
    <row r="41" spans="2:8" ht="12.75" x14ac:dyDescent="0.2"/>
    <row r="42" spans="2:8" ht="12.75" x14ac:dyDescent="0.2"/>
    <row r="43" spans="2:8" ht="12.75" x14ac:dyDescent="0.2"/>
    <row r="44" spans="2:8" ht="12.75" x14ac:dyDescent="0.2"/>
    <row r="45" spans="2:8" ht="12.75" customHeight="1" x14ac:dyDescent="0.2"/>
    <row r="46" spans="2:8" ht="12.75" customHeight="1" x14ac:dyDescent="0.2"/>
    <row r="47" spans="2:8" ht="12.75" customHeight="1" x14ac:dyDescent="0.2"/>
    <row r="48" spans="2: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sheetData>
  <sheetProtection selectLockedCells="1" selectUnlockedCells="1"/>
  <mergeCells count="34">
    <mergeCell ref="B2:H2"/>
    <mergeCell ref="B6:H7"/>
    <mergeCell ref="B8:H8"/>
    <mergeCell ref="C29:D29"/>
    <mergeCell ref="E29:G29"/>
    <mergeCell ref="C15:D15"/>
    <mergeCell ref="C16:C18"/>
    <mergeCell ref="C19:D19"/>
    <mergeCell ref="E16:F16"/>
    <mergeCell ref="D24:E24"/>
    <mergeCell ref="D23:E23"/>
    <mergeCell ref="F26:G26"/>
    <mergeCell ref="F27:G27"/>
    <mergeCell ref="F23:G23"/>
    <mergeCell ref="D27:E27"/>
    <mergeCell ref="F24:G24"/>
    <mergeCell ref="F25:G25"/>
    <mergeCell ref="D25:E25"/>
    <mergeCell ref="B32:H32"/>
    <mergeCell ref="E18:F18"/>
    <mergeCell ref="B21:H21"/>
    <mergeCell ref="E31:F31"/>
    <mergeCell ref="D26:E26"/>
    <mergeCell ref="B30:H30"/>
    <mergeCell ref="B9:H10"/>
    <mergeCell ref="E12:F12"/>
    <mergeCell ref="E13:F13"/>
    <mergeCell ref="E19:F19"/>
    <mergeCell ref="E15:F15"/>
    <mergeCell ref="C14:D14"/>
    <mergeCell ref="C13:D13"/>
    <mergeCell ref="C12:D12"/>
    <mergeCell ref="E14:F14"/>
    <mergeCell ref="E17:F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workbookViewId="0"/>
  </sheetViews>
  <sheetFormatPr baseColWidth="10" defaultColWidth="11.42578125" defaultRowHeight="12.75" x14ac:dyDescent="0.2"/>
  <cols>
    <col min="2" max="4" width="22.28515625" customWidth="1"/>
    <col min="5" max="5" width="34.5703125" customWidth="1"/>
    <col min="6" max="6" width="36.42578125" bestFit="1" customWidth="1"/>
    <col min="8" max="8" width="12.28515625" bestFit="1" customWidth="1"/>
    <col min="9" max="9" width="12.7109375" customWidth="1"/>
    <col min="13" max="14" width="17.5703125" customWidth="1"/>
  </cols>
  <sheetData>
    <row r="1" spans="1:19" ht="81.75" customHeight="1" x14ac:dyDescent="0.2">
      <c r="A1" s="162" t="s">
        <v>110</v>
      </c>
      <c r="B1" s="162" t="s">
        <v>380</v>
      </c>
      <c r="C1" s="161" t="s">
        <v>381</v>
      </c>
      <c r="D1" s="161" t="s">
        <v>382</v>
      </c>
      <c r="E1" s="161" t="s">
        <v>383</v>
      </c>
      <c r="F1" s="162" t="s">
        <v>143</v>
      </c>
      <c r="G1" s="160" t="s">
        <v>384</v>
      </c>
      <c r="H1" s="160" t="s">
        <v>385</v>
      </c>
      <c r="I1" s="160" t="s">
        <v>386</v>
      </c>
      <c r="J1" s="160" t="s">
        <v>79</v>
      </c>
      <c r="K1" s="160" t="s">
        <v>88</v>
      </c>
      <c r="L1" s="160" t="s">
        <v>387</v>
      </c>
      <c r="M1" s="77" t="s">
        <v>388</v>
      </c>
      <c r="N1" s="77"/>
    </row>
    <row r="2" spans="1:19" ht="12.75" customHeight="1" x14ac:dyDescent="0.2">
      <c r="A2" s="149" t="s">
        <v>389</v>
      </c>
      <c r="B2" s="149" t="str">
        <f>+LEFT(A2,1)</f>
        <v>1</v>
      </c>
      <c r="C2" s="149" t="str">
        <f>+MID(VLOOKUP(A2,'Ambiente de Control'!$B$21:$C$235,2,0),4,LEN(VLOOKUP(A2,'Ambiente de Control'!$B$21:$C$235,2,0))-4)</f>
        <v xml:space="preserve"> Aplicación del Código de Integridad. (incluye análisis de desviaciones, convivencia laboral, temas disciplinarios internos, quejas o denuncias sobres los servidores de la entidad, u otros temas relacionados)</v>
      </c>
      <c r="D2" s="149" t="s">
        <v>390</v>
      </c>
      <c r="E2" s="149" t="str">
        <f>+VLOOKUP(A2,'Ambiente de Control'!$B$21:$D$235,3,0)</f>
        <v>Dimensión Talento Humano
Política Integridad</v>
      </c>
      <c r="F2" s="149" t="str">
        <f>+VLOOKUP(A2,'Ambiente de Control'!$B$21:$K$235,10,0)</f>
        <v>Mantenimiento del control</v>
      </c>
      <c r="G2" s="149">
        <f>+VLOOKUP(A2,'Ambiente de Control'!$B$21:$O$39,13)</f>
        <v>60.045870000000001</v>
      </c>
      <c r="H2" s="151">
        <f>+_xlfn.RANK.EQ(G2,$G$2:$G$82,1)</f>
        <v>3</v>
      </c>
      <c r="I2" s="149" t="str">
        <f t="shared" ref="I2:I33" si="0">+IF(F2=$F$2,$P$4,IF(F2=$F$3,$P$2,$P$3))</f>
        <v>Cuando en el análisis de los requerimientos en los diferenes componentes del MECI se cuente con aspectos evaluados en nivel 1 (presente) y 1 (funcionando); 2 (presente) y 1 (funcionando).</v>
      </c>
      <c r="J2" s="149" t="s">
        <v>391</v>
      </c>
      <c r="K2" s="149">
        <f>+IF(ISBLANK(VLOOKUP(A2,'Ambiente de Control'!$B$24:$F$235,5,0)),"",VLOOKUP(A2,'Ambiente de Control'!$B$24:$F$235,5,0))</f>
        <v>3</v>
      </c>
      <c r="L2" s="149">
        <f>+IF(ISBLANK(VLOOKUP(A2,'Ambiente de Control'!$B$24:$K$235,9,0)),"",VLOOKUP(A2,'Ambiente de Control'!$B$24:$K$235,9,0))</f>
        <v>3</v>
      </c>
      <c r="M2" s="149">
        <f>+IF(OR(AND(K2=1,L2=1),AND(ISBLANK(K2),ISBLANK(L2)),K2="",L2=""),0,IF(OR(AND(K2=1,L2=2),AND(K2=1,L2=3)),0.25,IF(OR(AND(K2=2,L2=2),AND(K2=3,L2=1),AND(K2=3,L2=2),AND(K2=2,L2=1)),0.5,IF(AND(K2=2,L2=3),0.75,1))))</f>
        <v>1</v>
      </c>
      <c r="N2" s="149">
        <f>+AVERAGEIF($D$2:$D$82,D2,$M$2:$M$82)</f>
        <v>0.96875</v>
      </c>
      <c r="O2" s="147" t="s">
        <v>27</v>
      </c>
      <c r="P2" s="148" t="s">
        <v>392</v>
      </c>
      <c r="Q2" s="148"/>
      <c r="R2" s="149"/>
      <c r="S2" s="149"/>
    </row>
    <row r="3" spans="1:19" ht="12.75" customHeight="1" x14ac:dyDescent="0.2">
      <c r="A3" s="149" t="s">
        <v>393</v>
      </c>
      <c r="B3" s="149" t="str">
        <f t="shared" ref="B3:B42" si="1">+LEFT(A3,1)</f>
        <v>1</v>
      </c>
      <c r="C3" s="149" t="str">
        <f>+MID(VLOOKUP(A3,'Ambiente de Control'!$B$21:$C$235,2,0),4,LEN(VLOOKUP(A3,'Ambiente de Control'!$B$21:$C$235,2,0))-4)</f>
        <v xml:space="preserve"> Mecanismos para el manejo de conflictos de interés.</v>
      </c>
      <c r="D3" s="149" t="s">
        <v>390</v>
      </c>
      <c r="E3" s="149" t="str">
        <f>+VLOOKUP(A3,'Ambiente de Control'!$B$21:$D$235,3,0)</f>
        <v>Dimensión Talento Humano
Política Integridad</v>
      </c>
      <c r="F3" s="149" t="str">
        <f>+VLOOKUP(A3,'Ambiente de Control'!$B$21:$K$235,10,0)</f>
        <v>Mantenimiento del control</v>
      </c>
      <c r="G3" s="149">
        <f>+VLOOKUP(A3,'Ambiente de Control'!$B$21:$O$235,13,0)</f>
        <v>60.055689999999998</v>
      </c>
      <c r="H3" s="151">
        <f t="shared" ref="H3:H70" si="2">+_xlfn.RANK.EQ(G3,$G$2:$G$82,1)</f>
        <v>4</v>
      </c>
      <c r="I3" s="149" t="str">
        <f t="shared" si="0"/>
        <v>Cuando en el análisis de los requerimientos en los diferenes componentes del MECI se cuente con aspectos evaluados en nivel 1 (presente) y 1 (funcionando); 2 (presente) y 1 (funcionando).</v>
      </c>
      <c r="J3" s="149" t="s">
        <v>391</v>
      </c>
      <c r="K3" s="149">
        <f>+IF(ISBLANK(VLOOKUP(A3,'Ambiente de Control'!$B$24:$F$235,5,0)),"",VLOOKUP(A3,'Ambiente de Control'!$B$24:$F$235,5,0))</f>
        <v>3</v>
      </c>
      <c r="L3" s="149">
        <f>+IF(ISBLANK(VLOOKUP(A3,'Ambiente de Control'!$B$24:$K$235,9,0)),"",VLOOKUP(A3,'Ambiente de Control'!$B$24:$K$235,9,0))</f>
        <v>3</v>
      </c>
      <c r="M3" s="149">
        <f>+IF(OR(AND(K3=1,L3=1),AND(ISBLANK(K3),ISBLANK(L3)),K3="",L3=""),0,IF(OR(AND(K3=1,L3=2),AND(K3=1,L3=3)),0.25,IF(OR(AND(K3=2,L3=2),AND(K3=3,L3=1),AND(K3=3,L3=2),AND(K3=2,L3=1)),0.5,IF(AND(K3=2,L3=3),0.75,1))))</f>
        <v>1</v>
      </c>
      <c r="N3" s="149">
        <f t="shared" ref="N3:N70" si="3">+AVERAGEIF($D$2:$D$82,D3,$M$2:$M$82)</f>
        <v>0.96875</v>
      </c>
      <c r="O3" s="150" t="s">
        <v>30</v>
      </c>
      <c r="P3" s="148" t="s">
        <v>394</v>
      </c>
      <c r="Q3" s="148"/>
      <c r="R3" s="149" t="s">
        <v>395</v>
      </c>
      <c r="S3" s="149"/>
    </row>
    <row r="4" spans="1:19" ht="16.5" customHeight="1" x14ac:dyDescent="0.2">
      <c r="A4" s="149" t="s">
        <v>396</v>
      </c>
      <c r="B4" s="149" t="str">
        <f t="shared" si="1"/>
        <v>1</v>
      </c>
      <c r="C4" s="149" t="str">
        <f>+MID(VLOOKUP(A4,'Ambiente de Control'!$B$21:$C$235,2,0),4,LEN(VLOOKUP(A4,'Ambiente de Control'!$B$21:$C$235,2,0))-4)</f>
        <v xml:space="preserve"> Mecanismos frente a la detección y prevención del uso inadecuado de información privilegiada u otras situaciones que puedan implicar riesgos para la entidad</v>
      </c>
      <c r="D4" s="149" t="s">
        <v>390</v>
      </c>
      <c r="E4" s="149" t="str">
        <f>+VLOOKUP(A4,'Ambiente de Control'!$B$21:$D$235,3,0)</f>
        <v>Dimensión Información y Comunicación
Política Transparencia y Acceso a la Información Pública
Política Gestión Documental</v>
      </c>
      <c r="F4" s="149" t="str">
        <f>+VLOOKUP(A4,'Ambiente de Control'!$B$21:$K$235,10,0)</f>
        <v>Mantenimiento del control</v>
      </c>
      <c r="G4" s="149">
        <f>+VLOOKUP(A4,'Ambiente de Control'!$B$21:$O$235,13,0)</f>
        <v>60.066896</v>
      </c>
      <c r="H4" s="151">
        <f t="shared" si="2"/>
        <v>5</v>
      </c>
      <c r="I4" s="149" t="str">
        <f t="shared" si="0"/>
        <v>Cuando en el análisis de los requerimientos en los diferenes componentes del MECI se cuente con aspectos evaluados en nivel 1 (presente) y 1 (funcionando); 2 (presente) y 1 (funcionando).</v>
      </c>
      <c r="J4" s="149" t="s">
        <v>391</v>
      </c>
      <c r="K4" s="149">
        <f>+IF(ISBLANK(VLOOKUP(A4,'Ambiente de Control'!$B$24:$F$235,5,0)),"",VLOOKUP(A4,'Ambiente de Control'!$B$24:$F$235,5,0))</f>
        <v>3</v>
      </c>
      <c r="L4" s="149">
        <f>+IF(ISBLANK(VLOOKUP(A4,'Ambiente de Control'!$B$24:$K$235,9,0)),"",VLOOKUP(A4,'Ambiente de Control'!$B$24:$K$235,9,0))</f>
        <v>3</v>
      </c>
      <c r="M4" s="149">
        <f t="shared" ref="M4:M67" si="4">+IF(OR(AND(K4=1,L4=1),AND(ISBLANK(K4),ISBLANK(L4)),K4="",L4=""),0,IF(OR(AND(K4=1,L4=2),AND(K4=1,L4=3)),0.25,IF(OR(AND(K4=2,L4=2),AND(K4=3,L4=1),AND(K4=3,L4=2),AND(K4=2,L4=1)),0.5,IF(AND(K4=2,L4=3),0.75,1))))</f>
        <v>1</v>
      </c>
      <c r="N4" s="149">
        <f t="shared" si="3"/>
        <v>0.96875</v>
      </c>
      <c r="O4" s="150" t="s">
        <v>33</v>
      </c>
      <c r="P4" s="148" t="s">
        <v>397</v>
      </c>
      <c r="Q4" s="148"/>
      <c r="R4" s="149"/>
      <c r="S4" s="149"/>
    </row>
    <row r="5" spans="1:19" x14ac:dyDescent="0.2">
      <c r="A5" s="149" t="s">
        <v>398</v>
      </c>
      <c r="B5" s="149" t="str">
        <f t="shared" si="1"/>
        <v>1</v>
      </c>
      <c r="C5" s="149" t="str">
        <f>+MID(VLOOKUP(A5,'Ambiente de Control'!$B$21:$C$235,2,0),4,LEN(VLOOKUP(A5,'Ambiente de Control'!$B$21:$C$235,2,0))-4)</f>
        <v xml:space="preserve"> La evaluación de las acciones transversales de integridad, mediante el monitoreo permanente de los riesgos de corrupción.</v>
      </c>
      <c r="D5" s="149" t="s">
        <v>390</v>
      </c>
      <c r="E5" s="149" t="str">
        <f>+VLOOKUP(A5,'Ambiente de Control'!$B$21:$D$235,3,0)</f>
        <v>Dimension Talento Humano
Politica de Integridad</v>
      </c>
      <c r="F5" s="149" t="str">
        <f>+VLOOKUP(A5,'Ambiente de Control'!$B$21:$K$235,10,0)</f>
        <v>Mantenimiento del control</v>
      </c>
      <c r="G5" s="149">
        <f>+VLOOKUP(A5,'Ambiente de Control'!$B$21:$O$235,13,0)</f>
        <v>60.06691</v>
      </c>
      <c r="H5" s="151">
        <f t="shared" si="2"/>
        <v>6</v>
      </c>
      <c r="I5" s="149" t="str">
        <f t="shared" si="0"/>
        <v>Cuando en el análisis de los requerimientos en los diferenes componentes del MECI se cuente con aspectos evaluados en nivel 1 (presente) y 1 (funcionando); 2 (presente) y 1 (funcionando).</v>
      </c>
      <c r="J5" s="149" t="s">
        <v>391</v>
      </c>
      <c r="K5" s="149">
        <f>+IF(ISBLANK(VLOOKUP(A5,'Ambiente de Control'!$B$24:$F$235,5,0)),"",VLOOKUP(A5,'Ambiente de Control'!$B$24:$F$235,5,0))</f>
        <v>3</v>
      </c>
      <c r="L5" s="149">
        <f>+IF(ISBLANK(VLOOKUP(A5,'Ambiente de Control'!$B$24:$K$235,9,0)),"",VLOOKUP(A5,'Ambiente de Control'!$B$24:$K$235,9,0))</f>
        <v>3</v>
      </c>
      <c r="M5" s="149">
        <f t="shared" si="4"/>
        <v>1</v>
      </c>
      <c r="N5" s="149">
        <f t="shared" si="3"/>
        <v>0.96875</v>
      </c>
      <c r="O5" s="149"/>
      <c r="P5" s="149"/>
    </row>
    <row r="6" spans="1:19" x14ac:dyDescent="0.2">
      <c r="A6" s="149" t="s">
        <v>399</v>
      </c>
      <c r="B6" s="149" t="str">
        <f t="shared" si="1"/>
        <v>1</v>
      </c>
      <c r="C6" s="149" t="str">
        <f>+MID(VLOOKUP(A6,'Ambiente de Control'!$B$21:$C$235,2,0),4,LEN(VLOOKUP(A6,'Ambiente de Control'!$B$21:$C$235,2,0))-4)</f>
        <v xml:space="preserve">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v>
      </c>
      <c r="D6" s="149" t="s">
        <v>390</v>
      </c>
      <c r="E6" s="149" t="str">
        <f>+VLOOKUP(A6,'Ambiente de Control'!$B$21:$D$235,3,0)</f>
        <v>Dimensión Direccionamiento Estratégico y Planeación
Plan Anticorrupción y de Atención al Ciudadano</v>
      </c>
      <c r="F6" s="149" t="str">
        <f>+VLOOKUP(A6,'Ambiente de Control'!$B$21:$K$235,10,0)</f>
        <v>Oportunidad de mejora</v>
      </c>
      <c r="G6" s="149">
        <f>+VLOOKUP(A6,'Ambiente de Control'!$B$21:$O$235,13,0)</f>
        <v>40.073568999999999</v>
      </c>
      <c r="H6" s="151">
        <f t="shared" si="2"/>
        <v>2</v>
      </c>
      <c r="I6" s="149" t="str">
        <f t="shared" si="0"/>
        <v>Cuando en el análisis de los requerimientos en los diferenes componentes del MECI se cuente con aspectos evaluados en nivel 2 (presente) y 2 (funcionando); 3 (presente) y 1 (funcionando); 3 (presente) y 2 (funcionando).</v>
      </c>
      <c r="J6" s="149" t="s">
        <v>391</v>
      </c>
      <c r="K6" s="149">
        <f>+IF(ISBLANK(VLOOKUP(A6,'Ambiente de Control'!$B$24:$F$235,5,0)),"",VLOOKUP(A6,'Ambiente de Control'!$B$24:$F$235,5,0))</f>
        <v>2</v>
      </c>
      <c r="L6" s="149">
        <f>+IF(ISBLANK(VLOOKUP(A6,'Ambiente de Control'!$B$24:$K$235,9,0)),"",VLOOKUP(A6,'Ambiente de Control'!$B$24:$K$235,9,0))</f>
        <v>3</v>
      </c>
      <c r="M6" s="149">
        <f t="shared" si="4"/>
        <v>0.75</v>
      </c>
      <c r="N6" s="149">
        <f t="shared" si="3"/>
        <v>0.96875</v>
      </c>
      <c r="O6" s="149"/>
      <c r="P6" s="149"/>
    </row>
    <row r="7" spans="1:19" x14ac:dyDescent="0.2">
      <c r="A7" s="149" t="s">
        <v>400</v>
      </c>
      <c r="B7" s="149" t="str">
        <f t="shared" si="1"/>
        <v>2</v>
      </c>
      <c r="C7" s="149" t="str">
        <f>+MID(VLOOKUP(A7,'Ambiente de Control'!$B$21:$C$235,2,0),4,LEN(VLOOKUP(A7,'Ambiente de Control'!$B$21:$C$235,2,0))-4)</f>
        <v xml:space="preserve"> Creación o actualización del Comité Institucional de Coordinación de Control Interno (incluye ajustes en periodicidad para reunión, articulación con el Comité Institucioanl de Gestión y Desempeño)</v>
      </c>
      <c r="D7" s="149" t="s">
        <v>390</v>
      </c>
      <c r="E7" s="149" t="str">
        <f>+VLOOKUP(A7,'Ambiente de Control'!$B$21:$D$235,3,0)</f>
        <v>Dimension Control Interno
Politica de Control Interno</v>
      </c>
      <c r="F7" s="149" t="str">
        <f>+VLOOKUP(A7,'Ambiente de Control'!$B$21:$K$235,10,0)</f>
        <v>Mantenimiento del control</v>
      </c>
      <c r="G7" s="149">
        <f>+VLOOKUP(A7,'Ambiente de Control'!$B$21:$O$235,13,0)</f>
        <v>60.088965299999998</v>
      </c>
      <c r="H7" s="151">
        <f t="shared" si="2"/>
        <v>7</v>
      </c>
      <c r="I7" s="149" t="str">
        <f t="shared" si="0"/>
        <v>Cuando en el análisis de los requerimientos en los diferenes componentes del MECI se cuente con aspectos evaluados en nivel 1 (presente) y 1 (funcionando); 2 (presente) y 1 (funcionando).</v>
      </c>
      <c r="J7" s="149" t="s">
        <v>401</v>
      </c>
      <c r="K7" s="149">
        <f>+IF(ISBLANK(VLOOKUP(A7,'Ambiente de Control'!$B$24:$F$235,5,0)),"",VLOOKUP(A7,'Ambiente de Control'!$B$24:$F$235,5,0))</f>
        <v>3</v>
      </c>
      <c r="L7" s="149">
        <f>+IF(ISBLANK(VLOOKUP(A7,'Ambiente de Control'!$B$24:$K$235,9,0)),"",VLOOKUP(A7,'Ambiente de Control'!$B$24:$K$235,9,0))</f>
        <v>3</v>
      </c>
      <c r="M7" s="149">
        <f t="shared" si="4"/>
        <v>1</v>
      </c>
      <c r="N7" s="149">
        <f t="shared" si="3"/>
        <v>0.96875</v>
      </c>
      <c r="O7" s="149"/>
      <c r="P7" s="149"/>
    </row>
    <row r="8" spans="1:19" x14ac:dyDescent="0.2">
      <c r="A8" s="149" t="s">
        <v>402</v>
      </c>
      <c r="B8" s="149" t="str">
        <f t="shared" si="1"/>
        <v>2</v>
      </c>
      <c r="C8" s="149" t="str">
        <f>+MID(VLOOKUP(A8,'Ambiente de Control'!$B$21:$C$235,2,0),4,LEN(VLOOKUP(A8,'Ambiente de Control'!$B$21:$C$235,2,0))-4)</f>
        <v xml:space="preserve"> Definición y documentación del Esquema de Líneas de Defens</v>
      </c>
      <c r="D8" s="149" t="s">
        <v>390</v>
      </c>
      <c r="E8" s="149" t="str">
        <f>+VLOOKUP(A8,'Ambiente de Control'!$B$21:$D$235,3,0)</f>
        <v>Dimension Control Interno
Politica de Control Interno
Lineas de defensa</v>
      </c>
      <c r="F8" s="149" t="str">
        <f>+VLOOKUP(A8,'Ambiente de Control'!$B$21:$K$235,10,0)</f>
        <v>Mantenimiento del control</v>
      </c>
      <c r="G8" s="149">
        <f>+VLOOKUP(A8,'Ambiente de Control'!$B$21:$O$235,13,0)</f>
        <v>60.098965300000003</v>
      </c>
      <c r="H8" s="151">
        <f t="shared" si="2"/>
        <v>8</v>
      </c>
      <c r="I8" s="149" t="str">
        <f t="shared" si="0"/>
        <v>Cuando en el análisis de los requerimientos en los diferenes componentes del MECI se cuente con aspectos evaluados en nivel 1 (presente) y 1 (funcionando); 2 (presente) y 1 (funcionando).</v>
      </c>
      <c r="J8" s="149" t="s">
        <v>401</v>
      </c>
      <c r="K8" s="149">
        <f>+IF(ISBLANK(VLOOKUP(A8,'Ambiente de Control'!$B$24:$F$235,5,0)),"",VLOOKUP(A8,'Ambiente de Control'!$B$24:$F$235,5,0))</f>
        <v>3</v>
      </c>
      <c r="L8" s="149">
        <f>+IF(ISBLANK(VLOOKUP(A8,'Ambiente de Control'!$B$24:$K$235,9,0)),"",VLOOKUP(A8,'Ambiente de Control'!$B$24:$K$235,9,0))</f>
        <v>3</v>
      </c>
      <c r="M8" s="149">
        <f t="shared" si="4"/>
        <v>1</v>
      </c>
      <c r="N8" s="149">
        <f t="shared" si="3"/>
        <v>0.96875</v>
      </c>
      <c r="O8" s="149"/>
      <c r="P8" s="149"/>
    </row>
    <row r="9" spans="1:19" x14ac:dyDescent="0.2">
      <c r="A9" s="149" t="s">
        <v>403</v>
      </c>
      <c r="B9" s="149" t="str">
        <f t="shared" si="1"/>
        <v>2</v>
      </c>
      <c r="C9" s="149" t="str">
        <f>+MID(VLOOKUP(A9,'Ambiente de Control'!$B$21:$C$235,2,0),4,LEN(VLOOKUP(A9,'Ambiente de Control'!$B$21:$C$235,2,0))-4)</f>
        <v xml:space="preserve"> Definición de líneas de reporte en temas clave para la toma de decisiones, atendiendo el Esquema de Líneas de Defens</v>
      </c>
      <c r="D9" s="149" t="s">
        <v>390</v>
      </c>
      <c r="E9" s="149" t="str">
        <f>+VLOOKUP(A9,'Ambiente de Control'!$B$21:$D$235,3,0)</f>
        <v>Dimension Control Interno
Politica de Control Interno
Linea de Defensa
Dimension de Informaciòn y Comunicaciòn</v>
      </c>
      <c r="F9" s="149" t="str">
        <f>+VLOOKUP(A9,'Ambiente de Control'!$B$21:$K$235,10,0)</f>
        <v>Deficiencia de control (diseño o ejecución)</v>
      </c>
      <c r="G9" s="149">
        <f>+VLOOKUP(A9,'Ambiente de Control'!$B$21:$O$235,13,0)</f>
        <v>20.156980000000001</v>
      </c>
      <c r="H9" s="151">
        <f t="shared" si="2"/>
        <v>1</v>
      </c>
      <c r="I9" s="149" t="str">
        <f t="shared" si="0"/>
        <v>Cuando en el análisis de los requerimientos en los diferenes componentes del MECI se cuente con aspectos evaluados en nivel 2 (presente) y 2 (funcionando); 3 (presente) y 1 (funcionando); 3 (presente) y 2 (funcionando).</v>
      </c>
      <c r="J9" s="149" t="s">
        <v>401</v>
      </c>
      <c r="K9" s="149">
        <f>+IF(ISBLANK(VLOOKUP(A9,'Ambiente de Control'!$B$24:$F$235,5,0)),"",VLOOKUP(A9,'Ambiente de Control'!$B$24:$F$235,5,0))</f>
        <v>3</v>
      </c>
      <c r="L9" s="149">
        <f>+IF(ISBLANK(VLOOKUP(A9,'Ambiente de Control'!$B$24:$K$235,9,0)),"",VLOOKUP(A9,'Ambiente de Control'!$B$24:$K$235,9,0))</f>
        <v>2</v>
      </c>
      <c r="M9" s="149">
        <f t="shared" si="4"/>
        <v>0.5</v>
      </c>
      <c r="N9" s="149">
        <f t="shared" si="3"/>
        <v>0.96875</v>
      </c>
      <c r="O9" s="149"/>
      <c r="P9" s="149"/>
    </row>
    <row r="10" spans="1:19" x14ac:dyDescent="0.2">
      <c r="A10" s="149" t="s">
        <v>404</v>
      </c>
      <c r="B10" s="149" t="str">
        <f t="shared" si="1"/>
        <v>3</v>
      </c>
      <c r="C10" s="149" t="str">
        <f>+MID(VLOOKUP(A10,'Ambiente de Control'!$B$21:$C$235,2,0),4,LEN(VLOOKUP(A10,'Ambiente de Control'!$B$21:$C$235,2,0))-4)</f>
        <v xml:space="preserve">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v>
      </c>
      <c r="D10" s="149" t="s">
        <v>390</v>
      </c>
      <c r="E10" s="149" t="str">
        <f>+VLOOKUP(A10,'Ambiente de Control'!$B$21:$D$235,3,0)</f>
        <v>Dimension de Direccionamiento Estrategico y Planeaciòn
Politica de Planeaciòn Institucional 
Dimension Control Interno</v>
      </c>
      <c r="F10" s="149" t="str">
        <f>+VLOOKUP(A10,'Ambiente de Control'!$B$21:$K$235,10,0)</f>
        <v>Mantenimiento del control</v>
      </c>
      <c r="G10" s="149">
        <f>+VLOOKUP(A10,'Ambiente de Control'!$B$21:$O$235,13,0)</f>
        <v>60.289650000000002</v>
      </c>
      <c r="H10" s="151">
        <f t="shared" si="2"/>
        <v>9</v>
      </c>
      <c r="I10" s="149" t="str">
        <f t="shared" si="0"/>
        <v>Cuando en el análisis de los requerimientos en los diferenes componentes del MECI se cuente con aspectos evaluados en nivel 1 (presente) y 1 (funcionando); 2 (presente) y 1 (funcionando).</v>
      </c>
      <c r="J10" s="149" t="s">
        <v>405</v>
      </c>
      <c r="K10" s="149">
        <f>+IF(ISBLANK(VLOOKUP(A10,'Ambiente de Control'!$B$24:$F$235,5,0)),"",VLOOKUP(A10,'Ambiente de Control'!$B$24:$F$235,5,0))</f>
        <v>3</v>
      </c>
      <c r="L10" s="149">
        <f>+IF(ISBLANK(VLOOKUP(A10,'Ambiente de Control'!$B$24:$K$235,9,0)),"",VLOOKUP(A10,'Ambiente de Control'!$B$24:$K$235,9,0))</f>
        <v>3</v>
      </c>
      <c r="M10" s="149">
        <f t="shared" si="4"/>
        <v>1</v>
      </c>
      <c r="N10" s="149">
        <f t="shared" si="3"/>
        <v>0.96875</v>
      </c>
      <c r="O10" s="149"/>
      <c r="P10" s="149"/>
    </row>
    <row r="11" spans="1:19" x14ac:dyDescent="0.2">
      <c r="A11" s="149" t="s">
        <v>406</v>
      </c>
      <c r="B11" s="149" t="str">
        <f t="shared" si="1"/>
        <v>3</v>
      </c>
      <c r="C11" s="149" t="str">
        <f>+MID(VLOOKUP(A11,'Ambiente de Control'!$B$21:$C$235,2,0),4,LEN(VLOOKUP(A11,'Ambiente de Control'!$B$21:$C$235,2,0))-4)</f>
        <v xml:space="preserve"> Evaluación de la planeación estratégica, considerando alertas frente a posibles incumplimientos, necesidades de recursos, cambios en el entorno que puedan afectar su desarrollo, entre otros aspectos que garanticen de forma razonable su cumplimiento</v>
      </c>
      <c r="D11" s="149" t="s">
        <v>390</v>
      </c>
      <c r="E11" s="149" t="str">
        <f>+VLOOKUP(A11,'Ambiente de Control'!$B$21:$D$235,3,0)</f>
        <v>Diimensiòn Evaluacion de Resultados 
Politica de Seguimiento y Evaluaciòn al Desemepeño Institucional
Dimension Control Interno
Lineas de defensa</v>
      </c>
      <c r="F11" s="149" t="str">
        <f>+VLOOKUP(A11,'Ambiente de Control'!$B$21:$K$235,10,0)</f>
        <v>Mantenimiento del control</v>
      </c>
      <c r="G11" s="149">
        <f>+VLOOKUP(A11,'Ambiente de Control'!$B$21:$O$235,13,0)</f>
        <v>60.489649999999997</v>
      </c>
      <c r="H11" s="151">
        <f t="shared" si="2"/>
        <v>11</v>
      </c>
      <c r="I11" s="149" t="str">
        <f t="shared" si="0"/>
        <v>Cuando en el análisis de los requerimientos en los diferenes componentes del MECI se cuente con aspectos evaluados en nivel 1 (presente) y 1 (funcionando); 2 (presente) y 1 (funcionando).</v>
      </c>
      <c r="J11" s="149" t="s">
        <v>405</v>
      </c>
      <c r="K11" s="149">
        <f>+IF(ISBLANK(VLOOKUP(A11,'Ambiente de Control'!$B$24:$F$235,5,0)),"",VLOOKUP(A11,'Ambiente de Control'!$B$24:$F$235,5,0))</f>
        <v>3</v>
      </c>
      <c r="L11" s="149">
        <f>+IF(ISBLANK(VLOOKUP(A11,'Ambiente de Control'!$B$24:$K$235,9,0)),"",VLOOKUP(A11,'Ambiente de Control'!$B$24:$K$235,9,0))</f>
        <v>3</v>
      </c>
      <c r="M11" s="149">
        <f t="shared" si="4"/>
        <v>1</v>
      </c>
      <c r="N11" s="149">
        <f t="shared" si="3"/>
        <v>0.96875</v>
      </c>
      <c r="O11" s="149"/>
      <c r="P11" s="149"/>
    </row>
    <row r="12" spans="1:19" x14ac:dyDescent="0.2">
      <c r="A12" s="149" t="s">
        <v>407</v>
      </c>
      <c r="B12" s="149" t="str">
        <f t="shared" si="1"/>
        <v>3</v>
      </c>
      <c r="C12" s="149" t="str">
        <f>+MID(VLOOKUP(A12,'Ambiente de Control'!$B$21:$C$235,2,0),4,LEN(VLOOKUP(A12,'Ambiente de Control'!$B$21:$C$235,2,0))-4)</f>
        <v xml:space="preserve"> La Alta Dirección frente a la política de Administración del Riesgo definen los niveles de aceptación del riesgo, teniendo en cuenta cada uno de los objetivos establecidos.</v>
      </c>
      <c r="D12" s="149" t="s">
        <v>390</v>
      </c>
      <c r="E12" s="149" t="str">
        <f>+VLOOKUP(A12,'Ambiente de Control'!$B$21:$D$235,3,0)</f>
        <v>Dimension Control Interno
Politica de Control Interno
Linea Estrategica</v>
      </c>
      <c r="F12" s="149" t="str">
        <f>+VLOOKUP(A12,'Ambiente de Control'!$B$21:$K$235,10,0)</f>
        <v>Mantenimiento del control</v>
      </c>
      <c r="G12" s="149">
        <f>+VLOOKUP(A12,'Ambiente de Control'!$B$21:$O$235,13,0)</f>
        <v>60.389653000000003</v>
      </c>
      <c r="H12" s="151">
        <f t="shared" si="2"/>
        <v>10</v>
      </c>
      <c r="I12" s="149" t="str">
        <f t="shared" si="0"/>
        <v>Cuando en el análisis de los requerimientos en los diferenes componentes del MECI se cuente con aspectos evaluados en nivel 1 (presente) y 1 (funcionando); 2 (presente) y 1 (funcionando).</v>
      </c>
      <c r="J12" s="149" t="s">
        <v>405</v>
      </c>
      <c r="K12" s="149">
        <f>+IF(ISBLANK(VLOOKUP(A12,'Ambiente de Control'!$B$24:$F$235,5,0)),"",VLOOKUP(A12,'Ambiente de Control'!$B$24:$F$235,5,0))</f>
        <v>3</v>
      </c>
      <c r="L12" s="149">
        <f>+IF(ISBLANK(VLOOKUP(A12,'Ambiente de Control'!$B$24:$K$235,9,0)),"",VLOOKUP(A12,'Ambiente de Control'!$B$24:$K$235,9,0))</f>
        <v>3</v>
      </c>
      <c r="M12" s="149">
        <f t="shared" si="4"/>
        <v>1</v>
      </c>
      <c r="N12" s="149">
        <f t="shared" si="3"/>
        <v>0.96875</v>
      </c>
      <c r="O12" s="149"/>
      <c r="P12" s="149"/>
    </row>
    <row r="13" spans="1:19" x14ac:dyDescent="0.2">
      <c r="A13" s="149" t="s">
        <v>408</v>
      </c>
      <c r="B13" s="149" t="str">
        <f t="shared" si="1"/>
        <v>4</v>
      </c>
      <c r="C13" s="149" t="str">
        <f>+MID(VLOOKUP(A13,'Ambiente de Control'!$B$21:$C$235,2,0),4,LEN(VLOOKUP(A13,'Ambiente de Control'!$B$21:$C$235,2,0))-4)</f>
        <v xml:space="preserve"> Evaluación de la Planeación Estratégica del Talento Humano</v>
      </c>
      <c r="D13" s="149" t="s">
        <v>390</v>
      </c>
      <c r="E13" s="149" t="str">
        <f>+VLOOKUP(A13,'Ambiente de Control'!$B$21:$D$235,3,0)</f>
        <v>Dimension de Talento Humano
Politica Gestion Estrategica del Talento Humano
Dimension de Control Interno
Lineas de Defensa</v>
      </c>
      <c r="F13" s="149" t="str">
        <f>+VLOOKUP(A13,'Ambiente de Control'!$B$21:$K$235,10,0)</f>
        <v>Mantenimiento del control</v>
      </c>
      <c r="G13" s="149">
        <f>+VLOOKUP(A13,'Ambiente de Control'!$B$21:$O$235,13,0)</f>
        <v>60.589649999999999</v>
      </c>
      <c r="H13" s="151">
        <f t="shared" si="2"/>
        <v>12</v>
      </c>
      <c r="I13" s="149" t="str">
        <f t="shared" si="0"/>
        <v>Cuando en el análisis de los requerimientos en los diferenes componentes del MECI se cuente con aspectos evaluados en nivel 1 (presente) y 1 (funcionando); 2 (presente) y 1 (funcionando).</v>
      </c>
      <c r="J13" s="149" t="s">
        <v>409</v>
      </c>
      <c r="K13" s="149">
        <f>+IF(ISBLANK(VLOOKUP(A13,'Ambiente de Control'!$B$24:$F$235,5,0)),"",VLOOKUP(A13,'Ambiente de Control'!$B$24:$F$235,5,0))</f>
        <v>3</v>
      </c>
      <c r="L13" s="149">
        <f>+IF(ISBLANK(VLOOKUP(A13,'Ambiente de Control'!$B$24:$K$235,9,0)),"",VLOOKUP(A13,'Ambiente de Control'!$B$24:$K$235,9,0))</f>
        <v>3</v>
      </c>
      <c r="M13" s="149">
        <f t="shared" si="4"/>
        <v>1</v>
      </c>
      <c r="N13" s="149">
        <f t="shared" si="3"/>
        <v>0.96875</v>
      </c>
      <c r="O13" s="149"/>
      <c r="P13" s="149"/>
    </row>
    <row r="14" spans="1:19" x14ac:dyDescent="0.2">
      <c r="A14" s="149" t="s">
        <v>410</v>
      </c>
      <c r="B14" s="149" t="str">
        <f t="shared" si="1"/>
        <v>4</v>
      </c>
      <c r="C14" s="149" t="str">
        <f>+MID(VLOOKUP(A14,'Ambiente de Control'!$B$21:$C$235,2,0),4,LEN(VLOOKUP(A14,'Ambiente de Control'!$B$21:$C$235,2,0))-4)</f>
        <v xml:space="preserve"> Evaluación de las actividades relacionadas con el Ingreso del personal</v>
      </c>
      <c r="D14" s="149" t="s">
        <v>390</v>
      </c>
      <c r="E14" s="149" t="str">
        <f>+VLOOKUP(A14,'Ambiente de Control'!$B$21:$D$235,3,0)</f>
        <v>Dimension de Talento Humano
Politica Gestion Estrategica del Talento Humano
Dimension de Control Interno
Lineas de Defensa</v>
      </c>
      <c r="F14" s="149" t="str">
        <f>+VLOOKUP(A14,'Ambiente de Control'!$B$21:$K$235,10,0)</f>
        <v>Mantenimiento del control</v>
      </c>
      <c r="G14" s="149">
        <f>+VLOOKUP(A14,'Ambiente de Control'!$B$21:$O$235,13,0)</f>
        <v>60.68965</v>
      </c>
      <c r="H14" s="151">
        <f t="shared" si="2"/>
        <v>13</v>
      </c>
      <c r="I14" s="149" t="str">
        <f t="shared" si="0"/>
        <v>Cuando en el análisis de los requerimientos en los diferenes componentes del MECI se cuente con aspectos evaluados en nivel 1 (presente) y 1 (funcionando); 2 (presente) y 1 (funcionando).</v>
      </c>
      <c r="J14" s="149" t="s">
        <v>409</v>
      </c>
      <c r="K14" s="149">
        <f>+IF(ISBLANK(VLOOKUP(A14,'Ambiente de Control'!$B$24:$F$235,5,0)),"",VLOOKUP(A14,'Ambiente de Control'!$B$24:$F$235,5,0))</f>
        <v>3</v>
      </c>
      <c r="L14" s="149">
        <f>+IF(ISBLANK(VLOOKUP(A14,'Ambiente de Control'!$B$24:$K$235,9,0)),"",VLOOKUP(A14,'Ambiente de Control'!$B$24:$K$235,9,0))</f>
        <v>3</v>
      </c>
      <c r="M14" s="149">
        <f t="shared" si="4"/>
        <v>1</v>
      </c>
      <c r="N14" s="149">
        <f t="shared" si="3"/>
        <v>0.96875</v>
      </c>
      <c r="O14" s="149"/>
      <c r="P14" s="149"/>
    </row>
    <row r="15" spans="1:19" x14ac:dyDescent="0.2">
      <c r="A15" s="149" t="s">
        <v>411</v>
      </c>
      <c r="B15" s="149" t="str">
        <f t="shared" si="1"/>
        <v>4</v>
      </c>
      <c r="C15" s="149" t="str">
        <f>+MID(VLOOKUP(A15,'Ambiente de Control'!$B$21:$C$235,2,0),4,LEN(VLOOKUP(A15,'Ambiente de Control'!$B$21:$C$235,2,0))-4)</f>
        <v xml:space="preserve"> Evaluación de las actividades relacionadas con la permanencia del personal</v>
      </c>
      <c r="D15" s="149" t="s">
        <v>390</v>
      </c>
      <c r="E15" s="149" t="str">
        <f>+VLOOKUP(A15,'Ambiente de Control'!$B$21:$D$235,3,0)</f>
        <v>Dimension de Talento Humano
Politica Gestion Estrategica del Talento Humano
Dimension de Control Interno
Lineas de Defensa</v>
      </c>
      <c r="F15" s="149" t="str">
        <f>+VLOOKUP(A15,'Ambiente de Control'!$B$21:$K$235,10,0)</f>
        <v>Mantenimiento del control</v>
      </c>
      <c r="G15" s="149">
        <f>+VLOOKUP(A15,'Ambiente de Control'!$B$21:$O$235,13,0)</f>
        <v>60.789650000000002</v>
      </c>
      <c r="H15" s="151">
        <f t="shared" si="2"/>
        <v>14</v>
      </c>
      <c r="I15" s="149" t="str">
        <f t="shared" si="0"/>
        <v>Cuando en el análisis de los requerimientos en los diferenes componentes del MECI se cuente con aspectos evaluados en nivel 1 (presente) y 1 (funcionando); 2 (presente) y 1 (funcionando).</v>
      </c>
      <c r="J15" s="149" t="s">
        <v>409</v>
      </c>
      <c r="K15" s="149">
        <f>+IF(ISBLANK(VLOOKUP(A15,'Ambiente de Control'!$B$24:$F$235,5,0)),"",VLOOKUP(A15,'Ambiente de Control'!$B$24:$F$235,5,0))</f>
        <v>3</v>
      </c>
      <c r="L15" s="149">
        <f>+IF(ISBLANK(VLOOKUP(A15,'Ambiente de Control'!$B$24:$K$235,9,0)),"",VLOOKUP(A15,'Ambiente de Control'!$B$24:$K$235,9,0))</f>
        <v>3</v>
      </c>
      <c r="M15" s="149">
        <f t="shared" si="4"/>
        <v>1</v>
      </c>
      <c r="N15" s="149">
        <f t="shared" si="3"/>
        <v>0.96875</v>
      </c>
      <c r="O15" s="149"/>
      <c r="P15" s="149"/>
    </row>
    <row r="16" spans="1:19" x14ac:dyDescent="0.2">
      <c r="A16" s="149" t="s">
        <v>412</v>
      </c>
      <c r="B16" s="149" t="str">
        <f t="shared" si="1"/>
        <v>4</v>
      </c>
      <c r="C16" s="149" t="str">
        <f>+MID(VLOOKUP(A16,'Ambiente de Control'!$B$21:$C$235,2,0),4,LEN(VLOOKUP(A16,'Ambiente de Control'!$B$21:$C$235,2,0))-4)</f>
        <v>Analizar si se cuenta con políticas claras y comunicadas relacionadas con la responsabilidad de cada servidor sobre el desarrollo y mantenimiento del control interno (1a línea de defensa</v>
      </c>
      <c r="D16" s="149" t="s">
        <v>390</v>
      </c>
      <c r="E16" s="149" t="str">
        <f>+VLOOKUP(A16,'Ambiente de Control'!$B$21:$D$235,3,0)</f>
        <v>Dimension de Talento Humano
Politica Gestion Estrategica del Talento Humano
Dimension de Control Interno
Lineas de Defensa</v>
      </c>
      <c r="F16" s="149" t="str">
        <f>+VLOOKUP(A16,'Ambiente de Control'!$B$21:$K$235,10,0)</f>
        <v>Mantenimiento del control</v>
      </c>
      <c r="G16" s="149">
        <f>+VLOOKUP(A16,'Ambiente de Control'!$B$21:$O$235,13,0)</f>
        <v>60.889650000000003</v>
      </c>
      <c r="H16" s="151">
        <f t="shared" si="2"/>
        <v>15</v>
      </c>
      <c r="I16" s="149" t="str">
        <f t="shared" si="0"/>
        <v>Cuando en el análisis de los requerimientos en los diferenes componentes del MECI se cuente con aspectos evaluados en nivel 1 (presente) y 1 (funcionando); 2 (presente) y 1 (funcionando).</v>
      </c>
      <c r="J16" s="149" t="s">
        <v>409</v>
      </c>
      <c r="K16" s="149">
        <f>+IF(ISBLANK(VLOOKUP(A16,'Ambiente de Control'!$B$24:$F$235,5,0)),"",VLOOKUP(A16,'Ambiente de Control'!$B$24:$F$235,5,0))</f>
        <v>3</v>
      </c>
      <c r="L16" s="149">
        <f>+IF(ISBLANK(VLOOKUP(A16,'Ambiente de Control'!$B$24:$K$235,9,0)),"",VLOOKUP(A16,'Ambiente de Control'!$B$24:$K$235,9,0))</f>
        <v>3</v>
      </c>
      <c r="M16" s="149">
        <f t="shared" si="4"/>
        <v>1</v>
      </c>
      <c r="N16" s="149">
        <f t="shared" si="3"/>
        <v>0.96875</v>
      </c>
      <c r="O16" s="149"/>
      <c r="P16" s="149"/>
    </row>
    <row r="17" spans="1:16" x14ac:dyDescent="0.2">
      <c r="A17" s="149" t="s">
        <v>413</v>
      </c>
      <c r="B17" s="149" t="str">
        <f t="shared" si="1"/>
        <v>4</v>
      </c>
      <c r="C17" s="149" t="str">
        <f>+MID(VLOOKUP(A17,'Ambiente de Control'!$B$21:$C$235,2,0),4,LEN(VLOOKUP(A17,'Ambiente de Control'!$B$21:$C$235,2,0))-4)</f>
        <v xml:space="preserve"> Evaluación de las actividades relacionadas con el retiro del personal</v>
      </c>
      <c r="D17" s="149" t="s">
        <v>390</v>
      </c>
      <c r="E17" s="149" t="str">
        <f>+VLOOKUP(A17,'Ambiente de Control'!$B$21:$D$235,3,0)</f>
        <v>Dimension de Talento Humano
Politica Gestion Estrategica del Talento Humano
Dimension de Control Interno
Lineas de Defensa</v>
      </c>
      <c r="F17" s="149" t="str">
        <f>+VLOOKUP(A17,'Ambiente de Control'!$B$21:$K$235,10,0)</f>
        <v>Mantenimiento del control</v>
      </c>
      <c r="G17" s="149">
        <f>+VLOOKUP(A17,'Ambiente de Control'!$B$21:$O$235,13,0)</f>
        <v>60.989649999999997</v>
      </c>
      <c r="H17" s="151">
        <f t="shared" si="2"/>
        <v>16</v>
      </c>
      <c r="I17" s="149" t="str">
        <f t="shared" si="0"/>
        <v>Cuando en el análisis de los requerimientos en los diferenes componentes del MECI se cuente con aspectos evaluados en nivel 1 (presente) y 1 (funcionando); 2 (presente) y 1 (funcionando).</v>
      </c>
      <c r="J17" s="149" t="s">
        <v>409</v>
      </c>
      <c r="K17" s="149">
        <f>+IF(ISBLANK(VLOOKUP(A17,'Ambiente de Control'!$B$24:$F$235,5,0)),"",VLOOKUP(A17,'Ambiente de Control'!$B$24:$F$235,5,0))</f>
        <v>3</v>
      </c>
      <c r="L17" s="149">
        <f>+IF(ISBLANK(VLOOKUP(A17,'Ambiente de Control'!$B$24:$K$235,9,0)),"",VLOOKUP(A17,'Ambiente de Control'!$B$24:$K$235,9,0))</f>
        <v>3</v>
      </c>
      <c r="M17" s="149">
        <f t="shared" si="4"/>
        <v>1</v>
      </c>
      <c r="N17" s="149">
        <f t="shared" si="3"/>
        <v>0.96875</v>
      </c>
      <c r="O17" s="149"/>
      <c r="P17" s="149"/>
    </row>
    <row r="18" spans="1:16" x14ac:dyDescent="0.2">
      <c r="A18" s="149" t="s">
        <v>414</v>
      </c>
      <c r="B18" s="149" t="str">
        <f t="shared" si="1"/>
        <v>4</v>
      </c>
      <c r="C18" s="149" t="str">
        <f>+MID(VLOOKUP(A18,'Ambiente de Control'!$B$21:$C$235,2,0),4,LEN(VLOOKUP(A18,'Ambiente de Control'!$B$21:$C$235,2,0))-4)</f>
        <v xml:space="preserve"> Evaluar el impacto del Plan Institucional de Capacitación - PI</v>
      </c>
      <c r="D18" s="149" t="s">
        <v>390</v>
      </c>
      <c r="E18" s="149" t="str">
        <f>+VLOOKUP(A18,'Ambiente de Control'!$B$21:$D$235,3,0)</f>
        <v>Dimension de Talento Humano
Politica Gestion Estrategica del Talento Humano
Dimension de Control Interno
Lineas de Defensa</v>
      </c>
      <c r="F18" s="149" t="str">
        <f>+VLOOKUP(A18,'Ambiente de Control'!$B$21:$K$235,10,0)</f>
        <v>Mantenimiento del control</v>
      </c>
      <c r="G18" s="149">
        <f>+VLOOKUP(A18,'Ambiente de Control'!$B$21:$O$235,13,0)</f>
        <v>60.989652</v>
      </c>
      <c r="H18" s="151">
        <f t="shared" si="2"/>
        <v>17</v>
      </c>
      <c r="I18" s="149" t="str">
        <f t="shared" si="0"/>
        <v>Cuando en el análisis de los requerimientos en los diferenes componentes del MECI se cuente con aspectos evaluados en nivel 1 (presente) y 1 (funcionando); 2 (presente) y 1 (funcionando).</v>
      </c>
      <c r="J18" s="149" t="s">
        <v>409</v>
      </c>
      <c r="K18" s="149">
        <f>+IF(ISBLANK(VLOOKUP(A18,'Ambiente de Control'!$B$24:$F$235,5,0)),"",VLOOKUP(A18,'Ambiente de Control'!$B$24:$F$235,5,0))</f>
        <v>3</v>
      </c>
      <c r="L18" s="149">
        <f>+IF(ISBLANK(VLOOKUP(A18,'Ambiente de Control'!$B$24:$K$235,9,0)),"",VLOOKUP(A18,'Ambiente de Control'!$B$24:$K$235,9,0))</f>
        <v>3</v>
      </c>
      <c r="M18" s="149">
        <f t="shared" si="4"/>
        <v>1</v>
      </c>
      <c r="N18" s="149">
        <f t="shared" si="3"/>
        <v>0.96875</v>
      </c>
      <c r="O18" s="149"/>
      <c r="P18" s="149"/>
    </row>
    <row r="19" spans="1:16" x14ac:dyDescent="0.2">
      <c r="A19" s="149" t="s">
        <v>415</v>
      </c>
      <c r="B19" s="149" t="str">
        <f t="shared" si="1"/>
        <v>4</v>
      </c>
      <c r="C19" s="149" t="str">
        <f>+MID(VLOOKUP(A19,'Ambiente de Control'!$B$21:$C$235,2,0),4,LEN(VLOOKUP(A19,'Ambiente de Control'!$B$21:$C$235,2,0))-4)</f>
        <v xml:space="preserve"> Evaluación frente a los productos y servicios en los cuales participan los contratistas de apoyo</v>
      </c>
      <c r="D19" s="149" t="s">
        <v>390</v>
      </c>
      <c r="E19" s="149" t="str">
        <f>+VLOOKUP(A19,'Ambiente de Control'!$B$21:$D$235,3,0)</f>
        <v>Dimension de Talento Humano
Politica Gestion Estrategica del Talento Humano
Dimension de Control Interno
Lineas de Defensa</v>
      </c>
      <c r="F19" s="149" t="str">
        <f>+VLOOKUP(A19,'Ambiente de Control'!$B$21:$K$235,10,0)</f>
        <v>Mantenimiento del control</v>
      </c>
      <c r="G19" s="149">
        <f>+VLOOKUP(A19,'Ambiente de Control'!$B$21:$O$235,13,0)</f>
        <v>61.896230000000003</v>
      </c>
      <c r="H19" s="151">
        <f>+_xlfn.RANK.EQ(G19,$G$2:$G$82,1)</f>
        <v>24</v>
      </c>
      <c r="I19" s="149" t="str">
        <f t="shared" si="0"/>
        <v>Cuando en el análisis de los requerimientos en los diferenes componentes del MECI se cuente con aspectos evaluados en nivel 1 (presente) y 1 (funcionando); 2 (presente) y 1 (funcionando).</v>
      </c>
      <c r="J19" s="149" t="s">
        <v>409</v>
      </c>
      <c r="K19" s="149">
        <f>+IF(ISBLANK(VLOOKUP(A19,'Ambiente de Control'!$B$24:$F$235,5,0)),"",VLOOKUP(A19,'Ambiente de Control'!$B$24:$F$235,5,0))</f>
        <v>3</v>
      </c>
      <c r="L19" s="149">
        <f>+IF(ISBLANK(VLOOKUP(A19,'Ambiente de Control'!$B$24:$K$235,9,0)),"",VLOOKUP(A19,'Ambiente de Control'!$B$24:$K$235,9,0))</f>
        <v>3</v>
      </c>
      <c r="M19" s="149">
        <f t="shared" si="4"/>
        <v>1</v>
      </c>
      <c r="N19" s="149">
        <f>+AVERAGEIF($D$2:$D$82,D19,$M$2:$M$82)</f>
        <v>0.96875</v>
      </c>
      <c r="O19" s="149"/>
      <c r="P19" s="149"/>
    </row>
    <row r="20" spans="1:16" x14ac:dyDescent="0.2">
      <c r="A20" s="149" t="s">
        <v>416</v>
      </c>
      <c r="B20" s="149" t="str">
        <f t="shared" si="1"/>
        <v>5</v>
      </c>
      <c r="C20" s="149" t="str">
        <f>+MID(VLOOKUP(A20,'Ambiente de Control'!$B$21:$C$235,2,0),4,LEN(VLOOKUP(A20,'Ambiente de Control'!$B$21:$C$235,2,0))-4)</f>
        <v xml:space="preserve"> Acorde con la estructura del Esquema de Líneas de Defensa se han definido estándares de reporte, periodicidad y responsables frente a diferentes temas críticos de la entidad</v>
      </c>
      <c r="D20" s="149" t="s">
        <v>390</v>
      </c>
      <c r="E20" s="149" t="str">
        <f>+VLOOKUP(A20,'Ambiente de Control'!$B$21:$D$235,3,0)</f>
        <v>Dimension de Informaciòn y Comunicaciòn
Dimensiòn de Control Interno
Lineas de Defensa</v>
      </c>
      <c r="F20" s="149" t="str">
        <f>+VLOOKUP(A20,'Ambiente de Control'!$B$21:$K$235,10,0)</f>
        <v>Mantenimiento del control</v>
      </c>
      <c r="G20" s="149">
        <f>+VLOOKUP(A20,'Ambiente de Control'!$B$21:$O$235,13,0)</f>
        <v>61.189599999999999</v>
      </c>
      <c r="H20" s="151">
        <f t="shared" si="2"/>
        <v>18</v>
      </c>
      <c r="I20" s="149" t="str">
        <f t="shared" si="0"/>
        <v>Cuando en el análisis de los requerimientos en los diferenes componentes del MECI se cuente con aspectos evaluados en nivel 1 (presente) y 1 (funcionando); 2 (presente) y 1 (funcionando).</v>
      </c>
      <c r="J20" s="149" t="s">
        <v>417</v>
      </c>
      <c r="K20" s="149">
        <f>+IF(ISBLANK(VLOOKUP(A20,'Ambiente de Control'!$B$24:$F$235,5,0)),"",VLOOKUP(A20,'Ambiente de Control'!$B$24:$F$235,5,0))</f>
        <v>3</v>
      </c>
      <c r="L20" s="149">
        <f>+IF(ISBLANK(VLOOKUP(A20,'Ambiente de Control'!$B$24:$K$235,9,0)),"",VLOOKUP(A20,'Ambiente de Control'!$B$24:$K$235,9,0))</f>
        <v>3</v>
      </c>
      <c r="M20" s="149">
        <f t="shared" si="4"/>
        <v>1</v>
      </c>
      <c r="N20" s="149">
        <f t="shared" si="3"/>
        <v>0.96875</v>
      </c>
      <c r="O20" s="149"/>
      <c r="P20" s="149"/>
    </row>
    <row r="21" spans="1:16" x14ac:dyDescent="0.2">
      <c r="A21" s="149" t="s">
        <v>418</v>
      </c>
      <c r="B21" s="149" t="str">
        <f t="shared" si="1"/>
        <v>5</v>
      </c>
      <c r="C21" s="149" t="str">
        <f>+MID(VLOOKUP(A21,'Ambiente de Control'!$B$21:$C$235,2,0),4,LEN(VLOOKUP(A21,'Ambiente de Control'!$B$21:$C$235,2,0))-4)</f>
        <v xml:space="preserve"> La Alta Dirección analiza la información asociada con la generación de reportes financieros</v>
      </c>
      <c r="D21" s="149" t="s">
        <v>390</v>
      </c>
      <c r="E21" s="149" t="str">
        <f>+VLOOKUP(A21,'Ambiente de Control'!$B$21:$D$235,3,0)</f>
        <v xml:space="preserve">
Dimensiòn de Control Interno
Linea de Estrategica</v>
      </c>
      <c r="F21" s="149" t="str">
        <f>+VLOOKUP(A21,'Ambiente de Control'!$B$21:$K$235,10,0)</f>
        <v>Mantenimiento del control</v>
      </c>
      <c r="G21" s="149">
        <f>+VLOOKUP(A21,'Ambiente de Control'!$B$21:$O$235,13,0)</f>
        <v>61.289650000000002</v>
      </c>
      <c r="H21" s="151">
        <f t="shared" si="2"/>
        <v>19</v>
      </c>
      <c r="I21" s="149" t="str">
        <f t="shared" si="0"/>
        <v>Cuando en el análisis de los requerimientos en los diferenes componentes del MECI se cuente con aspectos evaluados en nivel 1 (presente) y 1 (funcionando); 2 (presente) y 1 (funcionando).</v>
      </c>
      <c r="J21" s="149" t="s">
        <v>417</v>
      </c>
      <c r="K21" s="149">
        <f>+IF(ISBLANK(VLOOKUP(A21,'Ambiente de Control'!$B$24:$F$235,5,0)),"",VLOOKUP(A21,'Ambiente de Control'!$B$24:$F$235,5,0))</f>
        <v>3</v>
      </c>
      <c r="L21" s="149">
        <f>+IF(ISBLANK(VLOOKUP(A21,'Ambiente de Control'!$B$24:$K$235,9,0)),"",VLOOKUP(A21,'Ambiente de Control'!$B$24:$K$235,9,0))</f>
        <v>3</v>
      </c>
      <c r="M21" s="149">
        <f t="shared" si="4"/>
        <v>1</v>
      </c>
      <c r="N21" s="149">
        <f t="shared" si="3"/>
        <v>0.96875</v>
      </c>
      <c r="O21" s="149"/>
      <c r="P21" s="149"/>
    </row>
    <row r="22" spans="1:16" x14ac:dyDescent="0.2">
      <c r="A22" s="149" t="s">
        <v>419</v>
      </c>
      <c r="B22" s="149" t="str">
        <f t="shared" si="1"/>
        <v>5</v>
      </c>
      <c r="C22" s="149" t="str">
        <f>+MID(VLOOKUP(A22,'Ambiente de Control'!$B$21:$C$235,2,0),4,LEN(VLOOKUP(A22,'Ambiente de Control'!$B$21:$C$235,2,0))-4)</f>
        <v xml:space="preserve"> Teniendo en cuenta la información suministrada por la 2a y 3a línea de defensa se toman decisiones a tiempo para garantizar el cumplimiento de las metas y objetivos</v>
      </c>
      <c r="D22" s="149" t="s">
        <v>390</v>
      </c>
      <c r="E22" s="149" t="str">
        <f>+VLOOKUP(A22,'Ambiente de Control'!$B$21:$D$235,3,0)</f>
        <v>Dimensiòn de Control Interno
Lineas de Defensa</v>
      </c>
      <c r="F22" s="149" t="str">
        <f>+VLOOKUP(A22,'Ambiente de Control'!$B$21:$K$235,10,0)</f>
        <v>Mantenimiento del control</v>
      </c>
      <c r="G22" s="149">
        <f>+VLOOKUP(A22,'Ambiente de Control'!$B$21:$O$235,13,0)</f>
        <v>61.389629999999997</v>
      </c>
      <c r="H22" s="151">
        <f t="shared" si="2"/>
        <v>20</v>
      </c>
      <c r="I22" s="149" t="str">
        <f t="shared" si="0"/>
        <v>Cuando en el análisis de los requerimientos en los diferenes componentes del MECI se cuente con aspectos evaluados en nivel 1 (presente) y 1 (funcionando); 2 (presente) y 1 (funcionando).</v>
      </c>
      <c r="J22" s="149" t="s">
        <v>417</v>
      </c>
      <c r="K22" s="149">
        <f>+IF(ISBLANK(VLOOKUP(A22,'Ambiente de Control'!$B$24:$F$235,5,0)),"",VLOOKUP(A22,'Ambiente de Control'!$B$24:$F$235,5,0))</f>
        <v>3</v>
      </c>
      <c r="L22" s="149">
        <f>+IF(ISBLANK(VLOOKUP(A22,'Ambiente de Control'!$B$24:$K$235,9,0)),"",VLOOKUP(A22,'Ambiente de Control'!$B$24:$K$235,9,0))</f>
        <v>3</v>
      </c>
      <c r="M22" s="149">
        <f t="shared" si="4"/>
        <v>1</v>
      </c>
      <c r="N22" s="149">
        <f t="shared" si="3"/>
        <v>0.96875</v>
      </c>
      <c r="O22" s="149"/>
      <c r="P22" s="149"/>
    </row>
    <row r="23" spans="1:16" x14ac:dyDescent="0.2">
      <c r="A23" s="149" t="s">
        <v>420</v>
      </c>
      <c r="B23" s="149" t="str">
        <f t="shared" si="1"/>
        <v>5</v>
      </c>
      <c r="C23" s="149" t="str">
        <f>+MID(VLOOKUP(A23,'Ambiente de Control'!$B$21:$C$235,2,0),4,LEN(VLOOKUP(A23,'Ambiente de Control'!$B$21:$C$235,2,0))-4)</f>
        <v xml:space="preserve"> Se evalúa la estructura de control a partir de los cambios en procesos, procedimientos, u otras herramientas, a fin de garantizar su adecuada formulación y afectación frente a la gestión del riesgo</v>
      </c>
      <c r="D23" s="149" t="s">
        <v>390</v>
      </c>
      <c r="E23" s="149" t="str">
        <f>+VLOOKUP(A23,'Ambiente de Control'!$B$21:$D$235,3,0)</f>
        <v>Dimension de Gestion con Valores para Resultado
Politica de Fortalecimiento Organizacional y Simplificaciòn de Procesos
Dimension Control Interno
Lineas de Defensa</v>
      </c>
      <c r="F23" s="149" t="str">
        <f>+VLOOKUP(A23,'Ambiente de Control'!$B$21:$K$235,10,0)</f>
        <v>Mantenimiento del control</v>
      </c>
      <c r="G23" s="149">
        <f>+VLOOKUP(A23,'Ambiente de Control'!$B$21:$O$235,13,0)</f>
        <v>61.489629999999998</v>
      </c>
      <c r="H23" s="151">
        <f t="shared" si="2"/>
        <v>21</v>
      </c>
      <c r="I23" s="149" t="str">
        <f t="shared" si="0"/>
        <v>Cuando en el análisis de los requerimientos en los diferenes componentes del MECI se cuente con aspectos evaluados en nivel 1 (presente) y 1 (funcionando); 2 (presente) y 1 (funcionando).</v>
      </c>
      <c r="J23" s="149" t="s">
        <v>417</v>
      </c>
      <c r="K23" s="149">
        <f>+IF(ISBLANK(VLOOKUP(A23,'Ambiente de Control'!$B$24:$F$235,5,0)),"",VLOOKUP(A23,'Ambiente de Control'!$B$24:$F$235,5,0))</f>
        <v>3</v>
      </c>
      <c r="L23" s="149">
        <f>+IF(ISBLANK(VLOOKUP(A23,'Ambiente de Control'!$B$24:$K$235,9,0)),"",VLOOKUP(A23,'Ambiente de Control'!$B$24:$K$235,9,0))</f>
        <v>3</v>
      </c>
      <c r="M23" s="149">
        <f t="shared" si="4"/>
        <v>1</v>
      </c>
      <c r="N23" s="149">
        <f t="shared" si="3"/>
        <v>0.96875</v>
      </c>
      <c r="O23" s="149"/>
      <c r="P23" s="149"/>
    </row>
    <row r="24" spans="1:16" x14ac:dyDescent="0.2">
      <c r="A24" s="149" t="s">
        <v>421</v>
      </c>
      <c r="B24" s="149" t="str">
        <f t="shared" si="1"/>
        <v>5</v>
      </c>
      <c r="C24" s="149" t="str">
        <f>+MID(VLOOKUP(A24,'Ambiente de Control'!$B$21:$C$235,2,0),4,LEN(VLOOKUP(A24,'Ambiente de Control'!$B$21:$C$235,2,0))-4)</f>
        <v xml:space="preserve"> La entidad aprueba y hace seguimiento al Plan Anual de Auditoría presentado y ejecutado por parte de la Oficina de Control Interno</v>
      </c>
      <c r="D24" s="149" t="s">
        <v>390</v>
      </c>
      <c r="E24" s="149" t="str">
        <f>+VLOOKUP(A24,'Ambiente de Control'!$B$21:$D$235,3,0)</f>
        <v>Dimension Control Interno
Linea Estrategica</v>
      </c>
      <c r="F24" s="149" t="str">
        <f>+VLOOKUP(A24,'Ambiente de Control'!$B$21:$K$235,10,0)</f>
        <v>Mantenimiento del control</v>
      </c>
      <c r="G24" s="149">
        <f>+VLOOKUP(A24,'Ambiente de Control'!$B$21:$O$235,13,0)</f>
        <v>61.589649999999999</v>
      </c>
      <c r="H24" s="151">
        <f t="shared" si="2"/>
        <v>22</v>
      </c>
      <c r="I24" s="149" t="str">
        <f t="shared" si="0"/>
        <v>Cuando en el análisis de los requerimientos en los diferenes componentes del MECI se cuente con aspectos evaluados en nivel 1 (presente) y 1 (funcionando); 2 (presente) y 1 (funcionando).</v>
      </c>
      <c r="J24" s="149" t="s">
        <v>417</v>
      </c>
      <c r="K24" s="149">
        <f>+IF(ISBLANK(VLOOKUP(A24,'Ambiente de Control'!$B$24:$F$235,5,0)),"",VLOOKUP(A24,'Ambiente de Control'!$B$24:$F$235,5,0))</f>
        <v>3</v>
      </c>
      <c r="L24" s="149">
        <f>+IF(ISBLANK(VLOOKUP(A24,'Ambiente de Control'!$B$24:$K$235,9,0)),"",VLOOKUP(A24,'Ambiente de Control'!$B$24:$K$235,9,0))</f>
        <v>3</v>
      </c>
      <c r="M24" s="149">
        <f t="shared" si="4"/>
        <v>1</v>
      </c>
      <c r="N24" s="149">
        <f t="shared" si="3"/>
        <v>0.96875</v>
      </c>
      <c r="O24" s="149"/>
      <c r="P24" s="149"/>
    </row>
    <row r="25" spans="1:16" x14ac:dyDescent="0.2">
      <c r="A25" s="149" t="s">
        <v>422</v>
      </c>
      <c r="B25" s="149" t="str">
        <f t="shared" si="1"/>
        <v>5</v>
      </c>
      <c r="C25" s="149" t="str">
        <f>+MID(VLOOKUP(A25,'Ambiente de Control'!$B$21:$C$235,2,0),4,LEN(VLOOKUP(A25,'Ambiente de Control'!$B$21:$C$235,2,0))-4)</f>
        <v xml:space="preserve"> La entidad analiza los informes presentados por la Oficina de Control Interno y evalúa su impacto en relación con la mejora institucional</v>
      </c>
      <c r="D25" s="149" t="s">
        <v>390</v>
      </c>
      <c r="E25" s="149" t="str">
        <f>+VLOOKUP(A25,'Ambiente de Control'!$B$21:$D$235,3,0)</f>
        <v>Dimension Control Interno
Linea Estrategica</v>
      </c>
      <c r="F25" s="149" t="str">
        <f>+VLOOKUP(A25,'Ambiente de Control'!$B$21:$K$235,10,0)</f>
        <v>Mantenimiento del control</v>
      </c>
      <c r="G25" s="149">
        <f>+VLOOKUP(A25,'Ambiente de Control'!$B$21:$O$235,13,0)</f>
        <v>61.689653</v>
      </c>
      <c r="H25" s="151">
        <f t="shared" si="2"/>
        <v>23</v>
      </c>
      <c r="I25" s="149" t="str">
        <f t="shared" si="0"/>
        <v>Cuando en el análisis de los requerimientos en los diferenes componentes del MECI se cuente con aspectos evaluados en nivel 1 (presente) y 1 (funcionando); 2 (presente) y 1 (funcionando).</v>
      </c>
      <c r="J25" s="149" t="s">
        <v>417</v>
      </c>
      <c r="K25" s="149">
        <f>+IF(ISBLANK(VLOOKUP(A25,'Ambiente de Control'!$B$24:$F$235,5,0)),"",VLOOKUP(A25,'Ambiente de Control'!$B$24:$F$235,5,0))</f>
        <v>3</v>
      </c>
      <c r="L25" s="149">
        <f>+IF(ISBLANK(VLOOKUP(A25,'Ambiente de Control'!$B$24:$K$235,9,0)),"",VLOOKUP(A25,'Ambiente de Control'!$B$24:$K$235,9,0))</f>
        <v>3</v>
      </c>
      <c r="M25" s="149">
        <f t="shared" si="4"/>
        <v>1</v>
      </c>
      <c r="N25" s="149">
        <f t="shared" si="3"/>
        <v>0.96875</v>
      </c>
      <c r="O25" s="149"/>
      <c r="P25" s="149"/>
    </row>
    <row r="26" spans="1:16" x14ac:dyDescent="0.2">
      <c r="A26" s="149" t="s">
        <v>423</v>
      </c>
      <c r="B26" s="149" t="str">
        <f t="shared" si="1"/>
        <v>6</v>
      </c>
      <c r="C26" s="149" t="str">
        <f>+MID(VLOOKUP(A26,'Evaluación de riesgos'!$B$13:$C$160,2,0),4,LEN(VLOOKUP(A26,'Evaluación de riesgos'!$B$13:$C$160,2,0))-4)</f>
        <v xml:space="preserve">  La Entidad cuenta con mecanismos para vincular o relacionar el plan estratégico con los objetivos estratégicos y estos a su vez con los objetivos operativos</v>
      </c>
      <c r="D26" s="149" t="s">
        <v>376</v>
      </c>
      <c r="E26" s="149" t="str">
        <f>+VLOOKUP(A26,'Evaluación de riesgos'!$B$13:$K$160,3,0)</f>
        <v>Dimension de Direccionamiento Estratetegico y Planeacion.
Politica de Planeacion Institucional</v>
      </c>
      <c r="F26" s="149" t="str">
        <f>+VLOOKUP(A26,'Evaluación de riesgos'!$B$13:$K$160,10,0)</f>
        <v>Mantenimiento del control</v>
      </c>
      <c r="G26" s="149">
        <f>+VLOOKUP(A26,'Evaluación de riesgos'!$B$13:$O$160,13,0)</f>
        <v>141.78960000000001</v>
      </c>
      <c r="H26" s="151">
        <f t="shared" si="2"/>
        <v>25</v>
      </c>
      <c r="I26" s="149" t="str">
        <f t="shared" si="0"/>
        <v>Cuando en el análisis de los requerimientos en los diferenes componentes del MECI se cuente con aspectos evaluados en nivel 1 (presente) y 1 (funcionando); 2 (presente) y 1 (funcionando).</v>
      </c>
      <c r="J26" s="149" t="s">
        <v>424</v>
      </c>
      <c r="K26" s="149">
        <f>+IF(ISBLANK(VLOOKUP(A26,'Evaluación de riesgos'!$B$16:$F$160,5,0)),"",VLOOKUP(A26,'Evaluación de riesgos'!$B$16:$F$160,5,0))</f>
        <v>3</v>
      </c>
      <c r="L26" s="149">
        <f>+IF(ISBLANK(VLOOKUP(A26,'Evaluación de riesgos'!$B$16:$J$160,9,9)),"",VLOOKUP(A26,'Evaluación de riesgos'!$B$16:$J$160,9,9))</f>
        <v>3</v>
      </c>
      <c r="M26" s="149">
        <f t="shared" si="4"/>
        <v>1</v>
      </c>
      <c r="N26" s="149">
        <f t="shared" si="3"/>
        <v>1</v>
      </c>
      <c r="O26" s="149"/>
      <c r="P26" s="149"/>
    </row>
    <row r="27" spans="1:16" x14ac:dyDescent="0.2">
      <c r="A27" s="149" t="s">
        <v>425</v>
      </c>
      <c r="B27" s="149" t="str">
        <f t="shared" si="1"/>
        <v>6</v>
      </c>
      <c r="C27" s="149" t="str">
        <f>+MID(VLOOKUP(A27,'Evaluación de riesgos'!$B$13:$C$160,2,0),4,LEN(VLOOKUP(A27,'Evaluación de riesgos'!$B$13:$C$160,2,0))-4)</f>
        <v xml:space="preserve"> Los objetivos de los procesos, programas o proyectos (según aplique) que están definidos, son específicos, medibles, alcanzables, relevantes, delimitados en el tiempo</v>
      </c>
      <c r="D27" s="149" t="s">
        <v>376</v>
      </c>
      <c r="E27" s="149" t="str">
        <f>+VLOOKUP(A27,'Evaluación de riesgos'!$B$13:$K$160,3,0)</f>
        <v>Dimension de Gestion con Valores para Resultado
Politica de Fortalecimiento Organizacional y Simplificaciòn de Procesos</v>
      </c>
      <c r="F27" s="149" t="str">
        <f>+VLOOKUP(A27,'Evaluación de riesgos'!$B$13:$K$160,10,0)</f>
        <v>Mantenimiento del control</v>
      </c>
      <c r="G27" s="149">
        <f>+VLOOKUP(A27,'Evaluación de riesgos'!$B$13:$O$160,13,0)</f>
        <v>141.8896</v>
      </c>
      <c r="H27" s="151">
        <f t="shared" si="2"/>
        <v>26</v>
      </c>
      <c r="I27" s="149" t="str">
        <f t="shared" si="0"/>
        <v>Cuando en el análisis de los requerimientos en los diferenes componentes del MECI se cuente con aspectos evaluados en nivel 1 (presente) y 1 (funcionando); 2 (presente) y 1 (funcionando).</v>
      </c>
      <c r="J27" s="149" t="s">
        <v>424</v>
      </c>
      <c r="K27" s="149">
        <f>+IF(ISBLANK(VLOOKUP(A27,'Evaluación de riesgos'!$B$16:$F$160,5,0)),"",VLOOKUP(A27,'Evaluación de riesgos'!$B$16:$F$160,5,0))</f>
        <v>3</v>
      </c>
      <c r="L27" s="149">
        <f>+IF(ISBLANK(VLOOKUP(A27,'Evaluación de riesgos'!$B$16:$J$160,9,9)),"",VLOOKUP(A27,'Evaluación de riesgos'!$B$16:$J$160,9,9))</f>
        <v>3</v>
      </c>
      <c r="M27" s="149">
        <f t="shared" si="4"/>
        <v>1</v>
      </c>
      <c r="N27" s="149">
        <f t="shared" si="3"/>
        <v>1</v>
      </c>
      <c r="O27" s="149"/>
      <c r="P27" s="149"/>
    </row>
    <row r="28" spans="1:16" x14ac:dyDescent="0.2">
      <c r="A28" s="149" t="s">
        <v>426</v>
      </c>
      <c r="B28" s="149" t="str">
        <f t="shared" si="1"/>
        <v>6</v>
      </c>
      <c r="C28" s="149" t="str">
        <f>+MID(VLOOKUP(A28,'Evaluación de riesgos'!$B$13:$C$160,2,0),4,LEN(VLOOKUP(A28,'Evaluación de riesgos'!$B$13:$C$160,2,0))-4)</f>
        <v xml:space="preserve"> La Alta Dirección evalúa periódicamente los objetivos establecidos para asegurar que estos continúan siendo consistentes y apropiados para la Entidad</v>
      </c>
      <c r="D28" s="149" t="s">
        <v>376</v>
      </c>
      <c r="E28" s="149" t="str">
        <f>+VLOOKUP(A28,'Evaluación de riesgos'!$B$13:$K$160,3,0)</f>
        <v>Dimension de Direccionamiento Estratetegico y Planeacion.
Politica de Planeacion Institucional
Dimension Control Interno
Linea Estrategica</v>
      </c>
      <c r="F28" s="149" t="str">
        <f>+VLOOKUP(A28,'Evaluación de riesgos'!$B$13:$K$160,10,0)</f>
        <v>Mantenimiento del control</v>
      </c>
      <c r="G28" s="149">
        <f>+VLOOKUP(A28,'Evaluación de riesgos'!$B$13:$O$160,13,0)</f>
        <v>141.97540000000001</v>
      </c>
      <c r="H28" s="151">
        <f t="shared" si="2"/>
        <v>27</v>
      </c>
      <c r="I28" s="149" t="str">
        <f t="shared" si="0"/>
        <v>Cuando en el análisis de los requerimientos en los diferenes componentes del MECI se cuente con aspectos evaluados en nivel 1 (presente) y 1 (funcionando); 2 (presente) y 1 (funcionando).</v>
      </c>
      <c r="J28" s="149" t="s">
        <v>424</v>
      </c>
      <c r="K28" s="149">
        <f>+IF(ISBLANK(VLOOKUP(A28,'Evaluación de riesgos'!$B$16:$F$160,5,0)),"",VLOOKUP(A28,'Evaluación de riesgos'!$B$16:$F$160,5,0))</f>
        <v>3</v>
      </c>
      <c r="L28" s="149">
        <f>+IF(ISBLANK(VLOOKUP(A28,'Evaluación de riesgos'!$B$16:$J$160,9,9)),"",VLOOKUP(A28,'Evaluación de riesgos'!$B$16:$J$160,9,9))</f>
        <v>3</v>
      </c>
      <c r="M28" s="149">
        <f t="shared" si="4"/>
        <v>1</v>
      </c>
      <c r="N28" s="149">
        <f t="shared" si="3"/>
        <v>1</v>
      </c>
      <c r="O28" s="149"/>
      <c r="P28" s="149"/>
    </row>
    <row r="29" spans="1:16" x14ac:dyDescent="0.2">
      <c r="A29" s="149" t="s">
        <v>427</v>
      </c>
      <c r="B29" s="149" t="str">
        <f t="shared" si="1"/>
        <v>7</v>
      </c>
      <c r="C29" s="149" t="str">
        <f>+MID(VLOOKUP(A29,'Evaluación de riesgos'!$B$13:$C$160,2,0),4,LEN(VLOOKUP(A29,'Evaluación de riesgos'!$B$13:$C$160,2,0))-4)</f>
        <v xml:space="preserve"> Teniendo en cuenta la estructura de la política de Administración del Riesgo, su alcance define lineamientos para toda la entidad, incluyendo regionales, áreas tercerizadas u otras instancias que afectan la prestación del servicio</v>
      </c>
      <c r="D29" s="149" t="s">
        <v>376</v>
      </c>
      <c r="E29" s="149" t="str">
        <f>+VLOOKUP(A29,'Evaluación de riesgos'!$B$13:$K$160,3,0)</f>
        <v>Dimension de Direccionamiento Estratetegico y Planeacion.
Politica de Planeacion Institucional</v>
      </c>
      <c r="F29" s="149" t="str">
        <f>+VLOOKUP(A29,'Evaluación de riesgos'!$B$13:$K$160,10,0)</f>
        <v>Mantenimiento del control</v>
      </c>
      <c r="G29" s="149">
        <f>+VLOOKUP(A29,'Evaluación de riesgos'!$B$13:$O$160,13,0)</f>
        <v>142.08959999999999</v>
      </c>
      <c r="H29" s="151">
        <f t="shared" si="2"/>
        <v>28</v>
      </c>
      <c r="I29" s="149" t="str">
        <f t="shared" si="0"/>
        <v>Cuando en el análisis de los requerimientos en los diferenes componentes del MECI se cuente con aspectos evaluados en nivel 1 (presente) y 1 (funcionando); 2 (presente) y 1 (funcionando).</v>
      </c>
      <c r="J29" s="149" t="s">
        <v>428</v>
      </c>
      <c r="K29" s="149">
        <f>+IF(ISBLANK(VLOOKUP(A29,'Evaluación de riesgos'!$B$16:$F$160,5,0)),"",VLOOKUP(A29,'Evaluación de riesgos'!$B$16:$F$160,5,0))</f>
        <v>3</v>
      </c>
      <c r="L29" s="149">
        <f>+IF(ISBLANK(VLOOKUP(A29,'Evaluación de riesgos'!$B$16:$J$160,9,9)),"",VLOOKUP(A29,'Evaluación de riesgos'!$B$16:$J$160,9,9))</f>
        <v>3</v>
      </c>
      <c r="M29" s="149">
        <f t="shared" si="4"/>
        <v>1</v>
      </c>
      <c r="N29" s="149">
        <f t="shared" si="3"/>
        <v>1</v>
      </c>
      <c r="O29" s="149"/>
      <c r="P29" s="149"/>
    </row>
    <row r="30" spans="1:16" x14ac:dyDescent="0.2">
      <c r="A30" s="149" t="s">
        <v>429</v>
      </c>
      <c r="B30" s="149" t="str">
        <f t="shared" si="1"/>
        <v>7</v>
      </c>
      <c r="C30" s="149" t="str">
        <f>+MID(VLOOKUP(A30,'Evaluación de riesgos'!$B$13:$C$160,2,0),4,LEN(VLOOKUP(A30,'Evaluación de riesgos'!$B$13:$C$160,2,0))-4)</f>
        <v xml:space="preserve"> La Oficina de Planeación, Gerencia de Riesgos (donde existan), como 2a línea de defensa, consolidan información clave frente a la gestión del riesgo</v>
      </c>
      <c r="D30" s="149" t="s">
        <v>376</v>
      </c>
      <c r="E30" s="149" t="str">
        <f>+VLOOKUP(A30,'Evaluación de riesgos'!$B$13:$K$160,3,0)</f>
        <v>Dimension Control Interno 
Lineas de Defensa</v>
      </c>
      <c r="F30" s="149" t="str">
        <f>+VLOOKUP(A30,'Evaluación de riesgos'!$B$13:$K$160,10,0)</f>
        <v>Mantenimiento del control</v>
      </c>
      <c r="G30" s="149">
        <f>+VLOOKUP(A30,'Evaluación de riesgos'!$B$13:$O$160,13,0)</f>
        <v>142.1456</v>
      </c>
      <c r="H30" s="151">
        <f t="shared" si="2"/>
        <v>29</v>
      </c>
      <c r="I30" s="149" t="str">
        <f t="shared" si="0"/>
        <v>Cuando en el análisis de los requerimientos en los diferenes componentes del MECI se cuente con aspectos evaluados en nivel 1 (presente) y 1 (funcionando); 2 (presente) y 1 (funcionando).</v>
      </c>
      <c r="J30" s="149" t="s">
        <v>428</v>
      </c>
      <c r="K30" s="149">
        <f>+IF(ISBLANK(VLOOKUP(A30,'Evaluación de riesgos'!$B$16:$F$160,5,0)),"",VLOOKUP(A30,'Evaluación de riesgos'!$B$16:$F$160,5,0))</f>
        <v>3</v>
      </c>
      <c r="L30" s="149">
        <f>+IF(ISBLANK(VLOOKUP(A30,'Evaluación de riesgos'!$B$16:$J$160,9,9)),"",VLOOKUP(A30,'Evaluación de riesgos'!$B$16:$J$160,9,9))</f>
        <v>3</v>
      </c>
      <c r="M30" s="149">
        <f t="shared" si="4"/>
        <v>1</v>
      </c>
      <c r="N30" s="149">
        <f t="shared" si="3"/>
        <v>1</v>
      </c>
      <c r="O30" s="149"/>
      <c r="P30" s="149"/>
    </row>
    <row r="31" spans="1:16" x14ac:dyDescent="0.2">
      <c r="A31" s="149" t="s">
        <v>430</v>
      </c>
      <c r="B31" s="149" t="str">
        <f t="shared" si="1"/>
        <v>7</v>
      </c>
      <c r="C31" s="149" t="str">
        <f>+MID(VLOOKUP(A31,'Evaluación de riesgos'!$B$13:$C$160,2,0),4,LEN(VLOOKUP(A31,'Evaluación de riesgos'!$B$13:$C$160,2,0))-4)</f>
        <v xml:space="preserve"> A partir de la información consolidada y reportada por la 2a línea de defensa (7.2), la Alta Dirección analiza sus resultados y en especial considera si se han presentado materializaciones de riesgo</v>
      </c>
      <c r="D31" s="149" t="s">
        <v>376</v>
      </c>
      <c r="E31" s="149" t="str">
        <f>+VLOOKUP(A31,'Evaluación de riesgos'!$B$13:$K$160,3,0)</f>
        <v>Dimension Control Interno 
Lineas de Defensa</v>
      </c>
      <c r="F31" s="149" t="str">
        <f>+VLOOKUP(A31,'Evaluación de riesgos'!$B$13:$K$160,10,0)</f>
        <v>Mantenimiento del control</v>
      </c>
      <c r="G31" s="149">
        <f>+VLOOKUP(A31,'Evaluación de riesgos'!$B$13:$O$160,13,0)</f>
        <v>142.23650000000001</v>
      </c>
      <c r="H31" s="151">
        <f t="shared" si="2"/>
        <v>30</v>
      </c>
      <c r="I31" s="149" t="str">
        <f t="shared" si="0"/>
        <v>Cuando en el análisis de los requerimientos en los diferenes componentes del MECI se cuente con aspectos evaluados en nivel 1 (presente) y 1 (funcionando); 2 (presente) y 1 (funcionando).</v>
      </c>
      <c r="J31" s="149" t="s">
        <v>428</v>
      </c>
      <c r="K31" s="149">
        <f>+IF(ISBLANK(VLOOKUP(A31,'Evaluación de riesgos'!$B$16:$F$160,5,0)),"",VLOOKUP(A31,'Evaluación de riesgos'!$B$16:$F$160,5,0))</f>
        <v>3</v>
      </c>
      <c r="L31" s="149">
        <f>+IF(ISBLANK(VLOOKUP(A31,'Evaluación de riesgos'!$B$16:$J$160,9,9)),"",VLOOKUP(A31,'Evaluación de riesgos'!$B$16:$J$160,9,9))</f>
        <v>3</v>
      </c>
      <c r="M31" s="149">
        <f t="shared" si="4"/>
        <v>1</v>
      </c>
      <c r="N31" s="149">
        <f t="shared" si="3"/>
        <v>1</v>
      </c>
      <c r="O31" s="149"/>
      <c r="P31" s="149"/>
    </row>
    <row r="32" spans="1:16" x14ac:dyDescent="0.2">
      <c r="A32" s="149" t="s">
        <v>431</v>
      </c>
      <c r="B32" s="149" t="str">
        <f t="shared" si="1"/>
        <v>7</v>
      </c>
      <c r="C32" s="149" t="str">
        <f>+MID(VLOOKUP(A32,'Evaluación de riesgos'!$B$13:$C$160,2,0),4,LEN(VLOOKUP(A32,'Evaluación de riesgos'!$B$13:$C$160,2,0))-4)</f>
        <v xml:space="preserve"> Cuando se detectan materializaciones de riesgo, se definen los cursos de acción en relación con la revisión y actualización del mapa de riesgos correspondiente</v>
      </c>
      <c r="D32" s="149" t="s">
        <v>376</v>
      </c>
      <c r="E32" s="149" t="str">
        <f>+VLOOKUP(A32,'Evaluación de riesgos'!$B$13:$K$160,3,0)</f>
        <v>Dimension de Direccionamiento Estratetegico y Planeacion.
Politica de Planeacion Institucional
Dimension Control Interno 
Lineas de Defensa</v>
      </c>
      <c r="F32" s="149" t="str">
        <f>+VLOOKUP(A32,'Evaluación de riesgos'!$B$13:$K$160,10,0)</f>
        <v>Mantenimiento del control</v>
      </c>
      <c r="G32" s="149">
        <f>+VLOOKUP(A32,'Evaluación de riesgos'!$B$13:$O$160,13,0)</f>
        <v>142.3896</v>
      </c>
      <c r="H32" s="151">
        <f t="shared" si="2"/>
        <v>31</v>
      </c>
      <c r="I32" s="149" t="str">
        <f t="shared" si="0"/>
        <v>Cuando en el análisis de los requerimientos en los diferenes componentes del MECI se cuente con aspectos evaluados en nivel 1 (presente) y 1 (funcionando); 2 (presente) y 1 (funcionando).</v>
      </c>
      <c r="J32" s="149" t="s">
        <v>428</v>
      </c>
      <c r="K32" s="149">
        <f>+IF(ISBLANK(VLOOKUP(A32,'Evaluación de riesgos'!$B$16:$F$160,5,0)),"",VLOOKUP(A32,'Evaluación de riesgos'!$B$16:$F$160,5,0))</f>
        <v>3</v>
      </c>
      <c r="L32" s="149">
        <f>+IF(ISBLANK(VLOOKUP(A32,'Evaluación de riesgos'!$B$16:$J$160,9,9)),"",VLOOKUP(A32,'Evaluación de riesgos'!$B$16:$J$160,9,9))</f>
        <v>3</v>
      </c>
      <c r="M32" s="149">
        <f t="shared" si="4"/>
        <v>1</v>
      </c>
      <c r="N32" s="149">
        <f t="shared" si="3"/>
        <v>1</v>
      </c>
      <c r="O32" s="149"/>
      <c r="P32" s="149"/>
    </row>
    <row r="33" spans="1:16" x14ac:dyDescent="0.2">
      <c r="A33" s="149" t="s">
        <v>432</v>
      </c>
      <c r="B33" s="149" t="str">
        <f t="shared" si="1"/>
        <v>7</v>
      </c>
      <c r="C33" s="149" t="str">
        <f>+MID(VLOOKUP(A33,'Evaluación de riesgos'!$B$13:$C$160,2,0),4,LEN(VLOOKUP(A33,'Evaluación de riesgos'!$B$13:$C$160,2,0))-4)</f>
        <v xml:space="preserve"> Se llevan a cabo seguimientos a las acciones definidas para resolver materializaciones de riesgo detectadas</v>
      </c>
      <c r="D33" s="149" t="s">
        <v>376</v>
      </c>
      <c r="E33" s="149" t="str">
        <f>+VLOOKUP(A33,'Evaluación de riesgos'!$B$13:$K$160,3,0)</f>
        <v>Dimension de Evaluacion de Resultados 
Politica de Seguimiento y evaluacion al Desempeño Institucional.
Dimension Control Interno 
Lineas de Defensa</v>
      </c>
      <c r="F33" s="149" t="str">
        <f>+VLOOKUP(A33,'Evaluación de riesgos'!$B$13:$K$160,10,0)</f>
        <v>Mantenimiento del control</v>
      </c>
      <c r="G33" s="149">
        <f>+VLOOKUP(A33,'Evaluación de riesgos'!$B$13:$O$160,13,0)</f>
        <v>142.4563</v>
      </c>
      <c r="H33" s="151">
        <f t="shared" si="2"/>
        <v>32</v>
      </c>
      <c r="I33" s="149" t="str">
        <f t="shared" si="0"/>
        <v>Cuando en el análisis de los requerimientos en los diferenes componentes del MECI se cuente con aspectos evaluados en nivel 1 (presente) y 1 (funcionando); 2 (presente) y 1 (funcionando).</v>
      </c>
      <c r="J33" s="149" t="s">
        <v>428</v>
      </c>
      <c r="K33" s="149">
        <f>+IF(ISBLANK(VLOOKUP(A33,'Evaluación de riesgos'!$B$16:$F$160,5,0)),"",VLOOKUP(A33,'Evaluación de riesgos'!$B$16:$F$160,5,0))</f>
        <v>3</v>
      </c>
      <c r="L33" s="149">
        <f>+IF(ISBLANK(VLOOKUP(A33,'Evaluación de riesgos'!$B$16:$J$160,9,9)),"",VLOOKUP(A33,'Evaluación de riesgos'!$B$16:$J$160,9,9))</f>
        <v>3</v>
      </c>
      <c r="M33" s="149">
        <f t="shared" si="4"/>
        <v>1</v>
      </c>
      <c r="N33" s="149">
        <f t="shared" si="3"/>
        <v>1</v>
      </c>
      <c r="O33" s="149"/>
      <c r="P33" s="149"/>
    </row>
    <row r="34" spans="1:16" x14ac:dyDescent="0.2">
      <c r="A34" s="149" t="s">
        <v>433</v>
      </c>
      <c r="B34" s="149" t="str">
        <f t="shared" si="1"/>
        <v>8</v>
      </c>
      <c r="C34" s="149" t="str">
        <f>+MID(VLOOKUP(A34,'Evaluación de riesgos'!$B$13:$C$160,2,0),4,LEN(VLOOKUP(A34,'Evaluación de riesgos'!$B$13:$C$160,2,0))-4)</f>
        <v xml:space="preserve"> La Alta Dirección acorde con el análisis del entorno interno y externo, define los procesos, programas o proyectos (según aplique), susceptibles de posibles actos de corrupción</v>
      </c>
      <c r="D34" s="149" t="s">
        <v>376</v>
      </c>
      <c r="E34" s="149" t="str">
        <f>+VLOOKUP(A34,'Evaluación de riesgos'!$B$13:$K$160,3,0)</f>
        <v>Dimension de Direccionamiento Estratetegico y Planeacion.
Politica de Planeacion Institucional</v>
      </c>
      <c r="F34" s="149" t="str">
        <f>+VLOOKUP(A34,'Evaluación de riesgos'!$B$13:$K$160,10,0)</f>
        <v>Mantenimiento del control</v>
      </c>
      <c r="G34" s="149">
        <f>+VLOOKUP(A34,'Evaluación de riesgos'!$B$13:$O$160,13,0)</f>
        <v>142.54579999999999</v>
      </c>
      <c r="H34" s="151">
        <f t="shared" si="2"/>
        <v>33</v>
      </c>
      <c r="I34" s="149" t="str">
        <f t="shared" ref="I34:I65" si="5">+IF(F34=$F$2,$P$4,IF(F34=$F$3,$P$2,$P$3))</f>
        <v>Cuando en el análisis de los requerimientos en los diferenes componentes del MECI se cuente con aspectos evaluados en nivel 1 (presente) y 1 (funcionando); 2 (presente) y 1 (funcionando).</v>
      </c>
      <c r="J34" s="149" t="s">
        <v>434</v>
      </c>
      <c r="K34" s="149">
        <f>+IF(ISBLANK(VLOOKUP(A34,'Evaluación de riesgos'!$B$16:$F$160,5,0)),"",VLOOKUP(A34,'Evaluación de riesgos'!$B$16:$F$160,5,0))</f>
        <v>3</v>
      </c>
      <c r="L34" s="149">
        <f>+IF(ISBLANK(VLOOKUP(A34,'Evaluación de riesgos'!$B$16:$J$160,9,9)),"",VLOOKUP(A34,'Evaluación de riesgos'!$B$16:$J$160,9,9))</f>
        <v>3</v>
      </c>
      <c r="M34" s="149">
        <f t="shared" si="4"/>
        <v>1</v>
      </c>
      <c r="N34" s="149">
        <f t="shared" si="3"/>
        <v>1</v>
      </c>
      <c r="O34" s="149"/>
      <c r="P34" s="149"/>
    </row>
    <row r="35" spans="1:16" x14ac:dyDescent="0.2">
      <c r="A35" s="149" t="s">
        <v>435</v>
      </c>
      <c r="B35" s="149" t="str">
        <f t="shared" si="1"/>
        <v>8</v>
      </c>
      <c r="C35" s="149" t="str">
        <f>+MID(VLOOKUP(A35,'Evaluación de riesgos'!$B$13:$C$160,2,0),4,LEN(VLOOKUP(A35,'Evaluación de riesgos'!$B$13:$C$160,2,0))-4)</f>
        <v xml:space="preserve"> La Alta Dirección monitorea los riesgos de corrupción con la periodicidad establecida en la Política de Administración del Riesgo</v>
      </c>
      <c r="D35" s="149" t="s">
        <v>376</v>
      </c>
      <c r="E35" s="149" t="str">
        <f>+VLOOKUP(A35,'Evaluación de riesgos'!$B$13:$K$160,3,0)</f>
        <v>Dimension de Control Interno
Linea Estrategica</v>
      </c>
      <c r="F35" s="149" t="str">
        <f>+VLOOKUP(A35,'Evaluación de riesgos'!$B$13:$K$160,10,0)</f>
        <v>Mantenimiento del control</v>
      </c>
      <c r="G35" s="149">
        <f>+VLOOKUP(A35,'Evaluación de riesgos'!$B$13:$O$160,13,0)</f>
        <v>142.63210000000001</v>
      </c>
      <c r="H35" s="151">
        <f t="shared" si="2"/>
        <v>34</v>
      </c>
      <c r="I35" s="149" t="str">
        <f t="shared" si="5"/>
        <v>Cuando en el análisis de los requerimientos en los diferenes componentes del MECI se cuente con aspectos evaluados en nivel 1 (presente) y 1 (funcionando); 2 (presente) y 1 (funcionando).</v>
      </c>
      <c r="J35" s="149" t="s">
        <v>434</v>
      </c>
      <c r="K35" s="149">
        <f>+IF(ISBLANK(VLOOKUP(A35,'Evaluación de riesgos'!$B$16:$F$160,5,0)),"",VLOOKUP(A35,'Evaluación de riesgos'!$B$16:$F$160,5,0))</f>
        <v>3</v>
      </c>
      <c r="L35" s="149">
        <f>+IF(ISBLANK(VLOOKUP(A35,'Evaluación de riesgos'!$B$16:$J$160,9,9)),"",VLOOKUP(A35,'Evaluación de riesgos'!$B$16:$J$160,9,9))</f>
        <v>3</v>
      </c>
      <c r="M35" s="149">
        <f t="shared" si="4"/>
        <v>1</v>
      </c>
      <c r="N35" s="149">
        <f t="shared" si="3"/>
        <v>1</v>
      </c>
      <c r="O35" s="149"/>
      <c r="P35" s="149"/>
    </row>
    <row r="36" spans="1:16" x14ac:dyDescent="0.2">
      <c r="A36" s="149" t="s">
        <v>436</v>
      </c>
      <c r="B36" s="149" t="str">
        <f t="shared" si="1"/>
        <v>8</v>
      </c>
      <c r="C36" s="149" t="str">
        <f>+MID(VLOOKUP(A36,'Evaluación de riesgos'!$B$13:$C$160,2,0),4,LEN(VLOOKUP(A36,'Evaluación de riesgos'!$B$13:$C$160,2,0))-4)</f>
        <v xml:space="preserve"> Para el desarrollo de las actividades de control, la entidad considera la adecuada división de las funciones y que éstas se encuentren segregadas en diferentes personas para reducir el riesgo de acciones fraudulentas</v>
      </c>
      <c r="D36" s="149" t="s">
        <v>376</v>
      </c>
      <c r="E36" s="149" t="str">
        <f>+VLOOKUP(A36,'Evaluación de riesgos'!$B$13:$K$160,3,0)</f>
        <v>Dimension de Contro Interno
Lineas de Defensa</v>
      </c>
      <c r="F36" s="149" t="str">
        <f>+VLOOKUP(A36,'Evaluación de riesgos'!$B$13:$K$160,10,0)</f>
        <v>Mantenimiento del control</v>
      </c>
      <c r="G36" s="149">
        <f>+VLOOKUP(A36,'Evaluación de riesgos'!$B$13:$O$160,13,0)</f>
        <v>142.7456</v>
      </c>
      <c r="H36" s="151">
        <f t="shared" si="2"/>
        <v>35</v>
      </c>
      <c r="I36" s="149" t="str">
        <f t="shared" si="5"/>
        <v>Cuando en el análisis de los requerimientos en los diferenes componentes del MECI se cuente con aspectos evaluados en nivel 1 (presente) y 1 (funcionando); 2 (presente) y 1 (funcionando).</v>
      </c>
      <c r="J36" s="149" t="s">
        <v>434</v>
      </c>
      <c r="K36" s="149">
        <f>+IF(ISBLANK(VLOOKUP(A36,'Evaluación de riesgos'!$B$16:$F$160,5,0)),"",VLOOKUP(A36,'Evaluación de riesgos'!$B$16:$F$160,5,0))</f>
        <v>3</v>
      </c>
      <c r="L36" s="149">
        <f>+IF(ISBLANK(VLOOKUP(A36,'Evaluación de riesgos'!$B$16:$J$160,9,9)),"",VLOOKUP(A36,'Evaluación de riesgos'!$B$16:$J$160,9,9))</f>
        <v>3</v>
      </c>
      <c r="M36" s="149">
        <f t="shared" si="4"/>
        <v>1</v>
      </c>
      <c r="N36" s="149">
        <f t="shared" si="3"/>
        <v>1</v>
      </c>
      <c r="O36" s="149"/>
      <c r="P36" s="149"/>
    </row>
    <row r="37" spans="1:16" x14ac:dyDescent="0.2">
      <c r="A37" s="149" t="s">
        <v>437</v>
      </c>
      <c r="B37" s="149" t="str">
        <f t="shared" si="1"/>
        <v>8</v>
      </c>
      <c r="C37" s="149" t="str">
        <f>+MID(VLOOKUP(A37,'Evaluación de riesgos'!$B$13:$C$160,2,0),4,LEN(VLOOKUP(A37,'Evaluación de riesgos'!$B$13:$C$160,2,0))-4)</f>
        <v xml:space="preserve"> La Alta Dirección evalúa fallas en los controles (diseño y ejecución) para definir cursos de acción apropiados para su mejora</v>
      </c>
      <c r="D37" s="149" t="s">
        <v>376</v>
      </c>
      <c r="E37" s="149" t="str">
        <f>+VLOOKUP(A37,'Evaluación de riesgos'!$B$13:$K$160,3,0)</f>
        <v>Dimension de Control Interno
Linea Estrategica</v>
      </c>
      <c r="F37" s="149" t="str">
        <f>+VLOOKUP(A37,'Evaluación de riesgos'!$B$13:$K$160,10,0)</f>
        <v>Mantenimiento del control</v>
      </c>
      <c r="G37" s="149">
        <f>+VLOOKUP(A37,'Evaluación de riesgos'!$B$13:$O$160,13,0)</f>
        <v>142.87450000000001</v>
      </c>
      <c r="H37" s="151">
        <f t="shared" si="2"/>
        <v>36</v>
      </c>
      <c r="I37" s="149" t="str">
        <f t="shared" si="5"/>
        <v>Cuando en el análisis de los requerimientos en los diferenes componentes del MECI se cuente con aspectos evaluados en nivel 1 (presente) y 1 (funcionando); 2 (presente) y 1 (funcionando).</v>
      </c>
      <c r="J37" s="149" t="s">
        <v>434</v>
      </c>
      <c r="K37" s="149">
        <f>+IF(ISBLANK(VLOOKUP(A37,'Evaluación de riesgos'!$B$16:$F$160,5,0)),"",VLOOKUP(A37,'Evaluación de riesgos'!$B$16:$F$160,5,0))</f>
        <v>3</v>
      </c>
      <c r="L37" s="149">
        <f>+IF(ISBLANK(VLOOKUP(A37,'Evaluación de riesgos'!$B$16:$J$160,9,9)),"",VLOOKUP(A37,'Evaluación de riesgos'!$B$16:$J$160,9,9))</f>
        <v>3</v>
      </c>
      <c r="M37" s="149">
        <f t="shared" si="4"/>
        <v>1</v>
      </c>
      <c r="N37" s="149">
        <f t="shared" si="3"/>
        <v>1</v>
      </c>
      <c r="O37" s="149"/>
      <c r="P37" s="149"/>
    </row>
    <row r="38" spans="1:16" x14ac:dyDescent="0.2">
      <c r="A38" s="149" t="s">
        <v>438</v>
      </c>
      <c r="B38" s="149" t="str">
        <f t="shared" si="1"/>
        <v>9</v>
      </c>
      <c r="C38" s="149" t="str">
        <f>+MID(VLOOKUP(A38,'Evaluación de riesgos'!$B$13:$C$160,2,0),4,LEN(VLOOKUP(A38,'Evaluación de riesgos'!$B$13:$C$160,2,0))-4)</f>
        <v xml:space="preserve"> Acorde con lo establecido en la política de Administración del Riesgo, se monitorean los factores internos y externos definidos para la entidad, a fin de establecer cambios en el entorno que determinen nuevos riesgos o ajustes a los existentes</v>
      </c>
      <c r="D38" s="149" t="s">
        <v>376</v>
      </c>
      <c r="E38" s="149" t="str">
        <f>+VLOOKUP(A38,'Evaluación de riesgos'!$B$13:$K$160,3,0)</f>
        <v>Dimension de Direccionamiento Estrategico 
Politica de Planeacion Institucional</v>
      </c>
      <c r="F38" s="149" t="str">
        <f>+VLOOKUP(A38,'Evaluación de riesgos'!$B$13:$K$160,10,0)</f>
        <v>Mantenimiento del control</v>
      </c>
      <c r="G38" s="149">
        <f>+VLOOKUP(A38,'Evaluación de riesgos'!$B$13:$O$160,13,0)</f>
        <v>142.96350000000001</v>
      </c>
      <c r="H38" s="151">
        <f t="shared" si="2"/>
        <v>37</v>
      </c>
      <c r="I38" s="149" t="str">
        <f t="shared" si="5"/>
        <v>Cuando en el análisis de los requerimientos en los diferenes componentes del MECI se cuente con aspectos evaluados en nivel 1 (presente) y 1 (funcionando); 2 (presente) y 1 (funcionando).</v>
      </c>
      <c r="J38" s="149" t="s">
        <v>439</v>
      </c>
      <c r="K38" s="149">
        <f>+IF(ISBLANK(VLOOKUP(A38,'Evaluación de riesgos'!$B$16:$F$160,5,0)),"",VLOOKUP(A38,'Evaluación de riesgos'!$B$16:$F$160,5,0))</f>
        <v>3</v>
      </c>
      <c r="L38" s="149">
        <f>+IF(ISBLANK(VLOOKUP(A38,'Evaluación de riesgos'!$B$16:$J$160,9,9)),"",VLOOKUP(A38,'Evaluación de riesgos'!$B$16:$J$160,9,9))</f>
        <v>3</v>
      </c>
      <c r="M38" s="149">
        <f t="shared" si="4"/>
        <v>1</v>
      </c>
      <c r="N38" s="149">
        <f t="shared" si="3"/>
        <v>1</v>
      </c>
      <c r="O38" s="149"/>
      <c r="P38" s="149"/>
    </row>
    <row r="39" spans="1:16" x14ac:dyDescent="0.2">
      <c r="A39" s="149" t="s">
        <v>440</v>
      </c>
      <c r="B39" s="149" t="str">
        <f t="shared" si="1"/>
        <v>9</v>
      </c>
      <c r="C39" s="149" t="str">
        <f>+MID(VLOOKUP(A39,'Evaluación de riesgos'!$B$13:$C$160,2,0),4,LEN(VLOOKUP(A39,'Evaluación de riesgos'!$B$13:$C$160,2,0))-4)</f>
        <v xml:space="preserve"> La Alta Dirección analiza los riesgos asociados a actividades tercerizadas, regionales u otras figuras externas que afecten la prestación del servicio a los usuarios, basados en los informes de la segunda y tercera linea de defensa</v>
      </c>
      <c r="D39" s="149" t="s">
        <v>376</v>
      </c>
      <c r="E39" s="149" t="str">
        <f>+VLOOKUP(A39,'Evaluación de riesgos'!$B$13:$K$160,3,0)</f>
        <v>Dimension de Control Interno
Lineas de Defensa</v>
      </c>
      <c r="F39" s="149" t="str">
        <f>+VLOOKUP(A39,'Evaluación de riesgos'!$B$13:$K$160,10,0)</f>
        <v>Mantenimiento del control</v>
      </c>
      <c r="G39" s="149">
        <f>+VLOOKUP(A39,'Evaluación de riesgos'!$B$13:$O$160,13,0)</f>
        <v>143.01249999999999</v>
      </c>
      <c r="H39" s="151">
        <f t="shared" si="2"/>
        <v>38</v>
      </c>
      <c r="I39" s="149" t="str">
        <f t="shared" si="5"/>
        <v>Cuando en el análisis de los requerimientos en los diferenes componentes del MECI se cuente con aspectos evaluados en nivel 1 (presente) y 1 (funcionando); 2 (presente) y 1 (funcionando).</v>
      </c>
      <c r="J39" s="149" t="s">
        <v>439</v>
      </c>
      <c r="K39" s="149">
        <f>+IF(ISBLANK(VLOOKUP(A39,'Evaluación de riesgos'!$B$16:$F$160,5,0)),"",VLOOKUP(A39,'Evaluación de riesgos'!$B$16:$F$160,5,0))</f>
        <v>3</v>
      </c>
      <c r="L39" s="149">
        <f>+IF(ISBLANK(VLOOKUP(A39,'Evaluación de riesgos'!$B$16:$J$160,9,9)),"",VLOOKUP(A39,'Evaluación de riesgos'!$B$16:$J$160,9,9))</f>
        <v>3</v>
      </c>
      <c r="M39" s="149">
        <f t="shared" si="4"/>
        <v>1</v>
      </c>
      <c r="N39" s="149">
        <f t="shared" si="3"/>
        <v>1</v>
      </c>
      <c r="O39" s="149"/>
      <c r="P39" s="149"/>
    </row>
    <row r="40" spans="1:16" x14ac:dyDescent="0.2">
      <c r="A40" s="149" t="s">
        <v>441</v>
      </c>
      <c r="B40" s="149" t="str">
        <f t="shared" si="1"/>
        <v>9</v>
      </c>
      <c r="C40" s="149" t="str">
        <f>+MID(VLOOKUP(A40,'Evaluación de riesgos'!$B$13:$C$160,2,0),4,LEN(VLOOKUP(A40,'Evaluación de riesgos'!$B$13:$C$160,2,0))-4)</f>
        <v xml:space="preserve"> La Alta Dirección monitorea los riesgos aceptados revisando que sus condiciones no hayan cambiado y definir su pertinencia para sostenerlos o ajustarlos</v>
      </c>
      <c r="D40" s="149" t="s">
        <v>376</v>
      </c>
      <c r="E40" s="149" t="str">
        <f>+VLOOKUP(A40,'Evaluación de riesgos'!$B$13:$K$160,3,0)</f>
        <v>Dimension de Control Interno
Linea Estrategica</v>
      </c>
      <c r="F40" s="149" t="str">
        <f>+VLOOKUP(A40,'Evaluación de riesgos'!$B$13:$K$160,10,0)</f>
        <v>Mantenimiento del control</v>
      </c>
      <c r="G40" s="149">
        <f>+VLOOKUP(A40,'Evaluación de riesgos'!$B$13:$O$160,13,0)</f>
        <v>143.12360000000001</v>
      </c>
      <c r="H40" s="151">
        <f t="shared" si="2"/>
        <v>39</v>
      </c>
      <c r="I40" s="149" t="str">
        <f t="shared" si="5"/>
        <v>Cuando en el análisis de los requerimientos en los diferenes componentes del MECI se cuente con aspectos evaluados en nivel 1 (presente) y 1 (funcionando); 2 (presente) y 1 (funcionando).</v>
      </c>
      <c r="J40" s="149" t="s">
        <v>439</v>
      </c>
      <c r="K40" s="149">
        <f>+IF(ISBLANK(VLOOKUP(A40,'Evaluación de riesgos'!$B$16:$F$160,5,0)),"",VLOOKUP(A40,'Evaluación de riesgos'!$B$16:$F$160,5,0))</f>
        <v>3</v>
      </c>
      <c r="L40" s="149">
        <f>+IF(ISBLANK(VLOOKUP(A40,'Evaluación de riesgos'!$B$16:$J$160,9,9)),"",VLOOKUP(A40,'Evaluación de riesgos'!$B$16:$J$160,9,9))</f>
        <v>3</v>
      </c>
      <c r="M40" s="149">
        <f t="shared" si="4"/>
        <v>1</v>
      </c>
      <c r="N40" s="149">
        <f t="shared" si="3"/>
        <v>1</v>
      </c>
      <c r="O40" s="149"/>
      <c r="P40" s="149"/>
    </row>
    <row r="41" spans="1:16" x14ac:dyDescent="0.2">
      <c r="A41" s="149" t="s">
        <v>442</v>
      </c>
      <c r="B41" s="149" t="str">
        <f t="shared" si="1"/>
        <v>9</v>
      </c>
      <c r="C41" s="149" t="str">
        <f>+MID(VLOOKUP(A41,'Evaluación de riesgos'!$B$13:$C$160,2,0),4,LEN(VLOOKUP(A41,'Evaluación de riesgos'!$B$13:$C$160,2,0))-4)</f>
        <v xml:space="preserve"> La Alta Dirección evalúa fallas en los controles (diseño y ejecución) para definir cursos de acción apropiados para su mejora, basados en los informes de la segunda y tercera linea de defensa</v>
      </c>
      <c r="D41" s="149" t="s">
        <v>376</v>
      </c>
      <c r="E41" s="149" t="str">
        <f>+VLOOKUP(A41,'Evaluación de riesgos'!$B$13:$K$160,3,0)</f>
        <v>Dimension de Control Interno
Lineas de Defensa</v>
      </c>
      <c r="F41" s="149" t="str">
        <f>+VLOOKUP(A41,'Evaluación de riesgos'!$B$13:$K$160,10,0)</f>
        <v>Mantenimiento del control</v>
      </c>
      <c r="G41" s="149">
        <f>+VLOOKUP(A41,'Evaluación de riesgos'!$B$13:$O$160,13,0)</f>
        <v>143.2456</v>
      </c>
      <c r="H41" s="151">
        <f t="shared" si="2"/>
        <v>40</v>
      </c>
      <c r="I41" s="149" t="str">
        <f t="shared" si="5"/>
        <v>Cuando en el análisis de los requerimientos en los diferenes componentes del MECI se cuente con aspectos evaluados en nivel 1 (presente) y 1 (funcionando); 2 (presente) y 1 (funcionando).</v>
      </c>
      <c r="J41" s="149" t="s">
        <v>439</v>
      </c>
      <c r="K41" s="149">
        <f>+IF(ISBLANK(VLOOKUP(A41,'Evaluación de riesgos'!$B$16:$F$160,5,0)),"",VLOOKUP(A41,'Evaluación de riesgos'!$B$16:$F$160,5,0))</f>
        <v>3</v>
      </c>
      <c r="L41" s="149">
        <f>+IF(ISBLANK(VLOOKUP(A41,'Evaluación de riesgos'!$B$16:$J$160,9,9)),"",VLOOKUP(A41,'Evaluación de riesgos'!$B$16:$J$160,9,9))</f>
        <v>3</v>
      </c>
      <c r="M41" s="149">
        <f t="shared" si="4"/>
        <v>1</v>
      </c>
      <c r="N41" s="149">
        <f t="shared" si="3"/>
        <v>1</v>
      </c>
      <c r="O41" s="149"/>
      <c r="P41" s="149"/>
    </row>
    <row r="42" spans="1:16" x14ac:dyDescent="0.2">
      <c r="A42" s="149" t="s">
        <v>443</v>
      </c>
      <c r="B42" s="149" t="str">
        <f t="shared" si="1"/>
        <v>9</v>
      </c>
      <c r="C42" s="149" t="str">
        <f>+MID(VLOOKUP(A42,'Evaluación de riesgos'!$B$13:$C$160,2,0),4,LEN(VLOOKUP(A42,'Evaluación de riesgos'!$B$13:$C$160,2,0))-4)</f>
        <v xml:space="preserve"> La entidad analiza el impacto sobre el control interno por cambios en los diferentes niveles organizacionales</v>
      </c>
      <c r="D42" s="149" t="s">
        <v>376</v>
      </c>
      <c r="E42" s="149" t="str">
        <f>+VLOOKUP(A42,'Evaluación de riesgos'!$B$13:$K$160,3,0)</f>
        <v>Dimension de Direccionamiento Estrategico y Planeacion
Politica de Planeacion Institucional
Dimension de Control Interno
Linea Estrategica</v>
      </c>
      <c r="F42" s="149" t="str">
        <f>+VLOOKUP(A42,'Evaluación de riesgos'!$B$13:$K$160,10,0)</f>
        <v>Mantenimiento del control</v>
      </c>
      <c r="G42" s="149">
        <f>+VLOOKUP(A42,'Evaluación de riesgos'!$B$13:$O$160,13,0)</f>
        <v>143.36539999999999</v>
      </c>
      <c r="H42" s="151">
        <f t="shared" si="2"/>
        <v>41</v>
      </c>
      <c r="I42" s="149" t="str">
        <f t="shared" si="5"/>
        <v>Cuando en el análisis de los requerimientos en los diferenes componentes del MECI se cuente con aspectos evaluados en nivel 1 (presente) y 1 (funcionando); 2 (presente) y 1 (funcionando).</v>
      </c>
      <c r="J42" s="149" t="s">
        <v>439</v>
      </c>
      <c r="K42" s="149">
        <f>+IF(ISBLANK(VLOOKUP(A42,'Evaluación de riesgos'!$B$16:$F$160,5,0)),"",VLOOKUP(A42,'Evaluación de riesgos'!$B$16:$F$160,5,0))</f>
        <v>3</v>
      </c>
      <c r="L42" s="149">
        <f>+IF(ISBLANK(VLOOKUP(A42,'Evaluación de riesgos'!$B$16:$J$160,9,9)),"",VLOOKUP(A42,'Evaluación de riesgos'!$B$16:$J$160,9,9))</f>
        <v>3</v>
      </c>
      <c r="M42" s="149">
        <f t="shared" si="4"/>
        <v>1</v>
      </c>
      <c r="N42" s="149">
        <f t="shared" si="3"/>
        <v>1</v>
      </c>
      <c r="O42" s="149"/>
      <c r="P42" s="149"/>
    </row>
    <row r="43" spans="1:16" x14ac:dyDescent="0.2">
      <c r="A43" s="149" t="s">
        <v>444</v>
      </c>
      <c r="B43" s="149" t="str">
        <f>+LEFT(A43,2)</f>
        <v>10</v>
      </c>
      <c r="C43" s="149" t="str">
        <f>+MID(VLOOKUP(A43,'Actividades de control'!$B$13:$C$176,2,0),5,LEN(VLOOKUP(A43,'Actividades de control'!$B$13:$C$176,2,0))-5)</f>
        <v xml:space="preserve"> Para el desarrollo de las actividades de control, la entidad considera la adecuada división de las funciones y que éstas se encuentren segregadas en diferentes personas para reducir el riesgo de error o de incumplimientos de alto impacto en la operación</v>
      </c>
      <c r="D43" s="149" t="s">
        <v>377</v>
      </c>
      <c r="E43" s="149" t="str">
        <f>+VLOOKUP(A43,'Actividades de control'!$B$18:$K$122,3,0)</f>
        <v>Dimension de Control Interno
Lineas de Defensa</v>
      </c>
      <c r="F43" s="149" t="str">
        <f>+VLOOKUP(A43,'Actividades de control'!$B$18:$K$122,10,0)</f>
        <v>Mantenimiento del control</v>
      </c>
      <c r="G43" s="149">
        <f>+VLOOKUP(A43,'Actividades de control'!$B$13:$N$176,13,0)</f>
        <v>223.45689999999999</v>
      </c>
      <c r="H43" s="151">
        <f t="shared" si="2"/>
        <v>44</v>
      </c>
      <c r="I43" s="149" t="str">
        <f t="shared" si="5"/>
        <v>Cuando en el análisis de los requerimientos en los diferenes componentes del MECI se cuente con aspectos evaluados en nivel 1 (presente) y 1 (funcionando); 2 (presente) y 1 (funcionando).</v>
      </c>
      <c r="J43" s="149" t="s">
        <v>445</v>
      </c>
      <c r="K43" s="149">
        <f>+IF(ISBLANK(VLOOKUP(A43,'Actividades de control'!$B$21:$F$122,5,0)),"",VLOOKUP(A43,'Actividades de control'!$B$21:$F$122,5,0))</f>
        <v>3</v>
      </c>
      <c r="L43" s="149">
        <f>+IF(ISBLANK(VLOOKUP(A43,'Actividades de control'!$B$21:$J$122,9,0)),"",VLOOKUP(A43,'Actividades de control'!$B$21:$J$122,9,0))</f>
        <v>3</v>
      </c>
      <c r="M43" s="149">
        <f t="shared" si="4"/>
        <v>1</v>
      </c>
      <c r="N43" s="149">
        <f t="shared" si="3"/>
        <v>0.95833333333333337</v>
      </c>
      <c r="O43" s="149"/>
      <c r="P43" s="149"/>
    </row>
    <row r="44" spans="1:16" x14ac:dyDescent="0.2">
      <c r="A44" s="149" t="s">
        <v>446</v>
      </c>
      <c r="B44" s="149" t="str">
        <f t="shared" ref="B44:B82" si="6">+LEFT(A44,2)</f>
        <v>10</v>
      </c>
      <c r="C44" s="149" t="str">
        <f>+MID(VLOOKUP(A44,'Actividades de control'!$B$13:$C$176,2,0),5,LEN(VLOOKUP(A44,'Actividades de control'!$B$13:$C$176,2,0))-5)</f>
        <v xml:space="preserve"> Se han idenfificado y documentado las situaciones específicas en donde no es posible segregar adecuadamente las funciones (ej: falta de personal, presupuesto), con el fin de definir actividades de control alternativas para cubrir los riesgos identificados.</v>
      </c>
      <c r="D44" s="149" t="s">
        <v>377</v>
      </c>
      <c r="E44" s="149" t="str">
        <f>+VLOOKUP(A44,'Actividades de control'!$B$18:$K$122,3,0)</f>
        <v>Dimension de Control Interno
Lineas de Defensa</v>
      </c>
      <c r="F44" s="149" t="str">
        <f>+VLOOKUP(A44,'Actividades de control'!$B$18:$K$122,10,0)</f>
        <v>Oportunidad de mejora</v>
      </c>
      <c r="G44" s="149">
        <f>+VLOOKUP(A44,'Actividades de control'!$B$13:$N$176,13,0)</f>
        <v>203.5478</v>
      </c>
      <c r="H44" s="151">
        <f t="shared" si="2"/>
        <v>42</v>
      </c>
      <c r="I44" s="149" t="str">
        <f t="shared" si="5"/>
        <v>Cuando en el análisis de los requerimientos en los diferenes componentes del MECI se cuente con aspectos evaluados en nivel 2 (presente) y 2 (funcionando); 3 (presente) y 1 (funcionando); 3 (presente) y 2 (funcionando).</v>
      </c>
      <c r="J44" s="149" t="s">
        <v>445</v>
      </c>
      <c r="K44" s="149">
        <f>+IF(ISBLANK(VLOOKUP(A44,'Actividades de control'!$B$21:$F$122,5,0)),"",VLOOKUP(A44,'Actividades de control'!$B$21:$F$122,5,0))</f>
        <v>2</v>
      </c>
      <c r="L44" s="149">
        <f>+IF(ISBLANK(VLOOKUP(A44,'Actividades de control'!$B$21:$J$122,9,0)),"",VLOOKUP(A44,'Actividades de control'!$B$21:$J$122,9,0))</f>
        <v>3</v>
      </c>
      <c r="M44" s="149">
        <f t="shared" si="4"/>
        <v>0.75</v>
      </c>
      <c r="N44" s="149">
        <f t="shared" si="3"/>
        <v>0.95833333333333337</v>
      </c>
      <c r="O44" s="149"/>
      <c r="P44" s="149"/>
    </row>
    <row r="45" spans="1:16" x14ac:dyDescent="0.2">
      <c r="A45" s="149" t="s">
        <v>447</v>
      </c>
      <c r="B45" s="149" t="str">
        <f t="shared" si="6"/>
        <v>10</v>
      </c>
      <c r="C45" s="149" t="str">
        <f>+MID(VLOOKUP(A45,'Actividades de control'!$B$13:$C$176,2,0),5,LEN(VLOOKUP(A45,'Actividades de control'!$B$13:$C$176,2,0))-5)</f>
        <v xml:space="preserve"> El diseño de otros  sistemas de gestión (bajo normas o estándares internacionales como la ISO), se intregan de forma adecuada a la estructura de control de la entidad</v>
      </c>
      <c r="D45" s="149" t="s">
        <v>377</v>
      </c>
      <c r="E45" s="149" t="str">
        <f>+VLOOKUP(A45,'Actividades de control'!$B$18:$K$122,3,0)</f>
        <v xml:space="preserve">
Dimension de Gestion con Valores para Resultados
Dimension de Control Interno
Lineas de Defensa</v>
      </c>
      <c r="F45" s="149" t="str">
        <f>+VLOOKUP(A45,'Actividades de control'!$B$18:$K$122,10,0)</f>
        <v>Mantenimiento del control</v>
      </c>
      <c r="G45" s="149">
        <f>+VLOOKUP(A45,'Actividades de control'!$B$13:$N$176,13,0)</f>
        <v>223.64580000000001</v>
      </c>
      <c r="H45" s="151">
        <f t="shared" si="2"/>
        <v>45</v>
      </c>
      <c r="I45" s="149" t="str">
        <f t="shared" si="5"/>
        <v>Cuando en el análisis de los requerimientos en los diferenes componentes del MECI se cuente con aspectos evaluados en nivel 1 (presente) y 1 (funcionando); 2 (presente) y 1 (funcionando).</v>
      </c>
      <c r="J45" s="149" t="s">
        <v>445</v>
      </c>
      <c r="K45" s="149">
        <f>+IF(ISBLANK(VLOOKUP(A45,'Actividades de control'!$B$21:$F$122,5,0)),"",VLOOKUP(A45,'Actividades de control'!$B$21:$F$122,5,0))</f>
        <v>3</v>
      </c>
      <c r="L45" s="149">
        <f>+IF(ISBLANK(VLOOKUP(A45,'Actividades de control'!$B$21:$J$122,9,0)),"",VLOOKUP(A45,'Actividades de control'!$B$21:$J$122,9,0))</f>
        <v>3</v>
      </c>
      <c r="M45" s="149">
        <f t="shared" si="4"/>
        <v>1</v>
      </c>
      <c r="N45" s="149">
        <f t="shared" si="3"/>
        <v>0.95833333333333337</v>
      </c>
      <c r="O45" s="149"/>
      <c r="P45" s="149"/>
    </row>
    <row r="46" spans="1:16" x14ac:dyDescent="0.2">
      <c r="A46" s="149" t="s">
        <v>448</v>
      </c>
      <c r="B46" s="149" t="str">
        <f t="shared" si="6"/>
        <v>11</v>
      </c>
      <c r="C46" s="149" t="str">
        <f>+MID(VLOOKUP(A46,'Actividades de control'!$B$13:$C$176,2,0),5,LEN(VLOOKUP(A46,'Actividades de control'!$B$13:$C$176,2,0))-5)</f>
        <v xml:space="preserve"> La entidad establece actividades de control relevantes sobre las infraestructuras tecnológicas; los procesos de gestión de la seguridad y sobre los procesos de adquisición, desarrollo y mantenimiento de tecnologías</v>
      </c>
      <c r="D46" s="149" t="s">
        <v>377</v>
      </c>
      <c r="E46" s="149" t="str">
        <f>+VLOOKUP(A46,'Actividades de control'!$B$18:$K$122,3,0)</f>
        <v xml:space="preserve">Dimension de Gestion con Valores para el Resultado
Politica de Gobierno Digital 
Politica de Seguridad Digital
</v>
      </c>
      <c r="F46" s="149" t="str">
        <f>+VLOOKUP(A46,'Actividades de control'!$B$18:$K$122,10,0)</f>
        <v>Oportunidad de mejora</v>
      </c>
      <c r="G46" s="149">
        <f>+VLOOKUP(A46,'Actividades de control'!$B$13:$N$176,13,0)</f>
        <v>203.78960000000001</v>
      </c>
      <c r="H46" s="151">
        <f t="shared" si="2"/>
        <v>43</v>
      </c>
      <c r="I46" s="149" t="str">
        <f t="shared" si="5"/>
        <v>Cuando en el análisis de los requerimientos en los diferenes componentes del MECI se cuente con aspectos evaluados en nivel 2 (presente) y 2 (funcionando); 3 (presente) y 1 (funcionando); 3 (presente) y 2 (funcionando).</v>
      </c>
      <c r="J46" s="149" t="s">
        <v>449</v>
      </c>
      <c r="K46" s="149">
        <f>+IF(ISBLANK(VLOOKUP(A46,'Actividades de control'!$B$21:$F$122,5,0)),"",VLOOKUP(A46,'Actividades de control'!$B$21:$F$122,5,0))</f>
        <v>2</v>
      </c>
      <c r="L46" s="149">
        <f>+IF(ISBLANK(VLOOKUP(A46,'Actividades de control'!$B$21:$J$122,9,0)),"",VLOOKUP(A46,'Actividades de control'!$B$21:$J$122,9,0))</f>
        <v>3</v>
      </c>
      <c r="M46" s="149">
        <f t="shared" si="4"/>
        <v>0.75</v>
      </c>
      <c r="N46" s="149">
        <f t="shared" si="3"/>
        <v>0.95833333333333337</v>
      </c>
      <c r="O46" s="149"/>
      <c r="P46" s="149"/>
    </row>
    <row r="47" spans="1:16" x14ac:dyDescent="0.2">
      <c r="A47" s="149" t="s">
        <v>450</v>
      </c>
      <c r="B47" s="149" t="str">
        <f t="shared" si="6"/>
        <v>11</v>
      </c>
      <c r="C47" s="149" t="str">
        <f>+MID(VLOOKUP(A47,'Actividades de control'!$B$13:$C$176,2,0),5,LEN(VLOOKUP(A47,'Actividades de control'!$B$13:$C$176,2,0))-5)</f>
        <v xml:space="preserve">  Para los proveedores de tecnología  selecciona y desarrolla actividades de control internas sobre las actividades realizadas por el proveedor de servicios</v>
      </c>
      <c r="D47" s="149" t="s">
        <v>377</v>
      </c>
      <c r="E47" s="149" t="str">
        <f>+VLOOKUP(A47,'Actividades de control'!$B$18:$K$122,3,0)</f>
        <v xml:space="preserve">Dimension de Gestion con Valores para el Resultado
Politica de Gobierno Digital 
Politica de Seguridad Digital
</v>
      </c>
      <c r="F47" s="149" t="str">
        <f>+VLOOKUP(A47,'Actividades de control'!$B$18:$K$122,10,0)</f>
        <v>Mantenimiento del control</v>
      </c>
      <c r="G47" s="149">
        <f>+VLOOKUP(A47,'Actividades de control'!$B$13:$N$176,13,0)</f>
        <v>223.84559999999999</v>
      </c>
      <c r="H47" s="151">
        <f t="shared" si="2"/>
        <v>46</v>
      </c>
      <c r="I47" s="149" t="str">
        <f t="shared" si="5"/>
        <v>Cuando en el análisis de los requerimientos en los diferenes componentes del MECI se cuente con aspectos evaluados en nivel 1 (presente) y 1 (funcionando); 2 (presente) y 1 (funcionando).</v>
      </c>
      <c r="J47" s="149" t="s">
        <v>449</v>
      </c>
      <c r="K47" s="149">
        <f>+IF(ISBLANK(VLOOKUP(A47,'Actividades de control'!$B$21:$F$122,5,0)),"",VLOOKUP(A47,'Actividades de control'!$B$21:$F$122,5,0))</f>
        <v>3</v>
      </c>
      <c r="L47" s="149">
        <f>+IF(ISBLANK(VLOOKUP(A47,'Actividades de control'!$B$21:$J$122,9,0)),"",VLOOKUP(A47,'Actividades de control'!$B$21:$J$122,9,0))</f>
        <v>3</v>
      </c>
      <c r="M47" s="149">
        <f t="shared" si="4"/>
        <v>1</v>
      </c>
      <c r="N47" s="149">
        <f t="shared" si="3"/>
        <v>0.95833333333333337</v>
      </c>
      <c r="O47" s="149"/>
      <c r="P47" s="149"/>
    </row>
    <row r="48" spans="1:16" x14ac:dyDescent="0.2">
      <c r="A48" s="149" t="s">
        <v>451</v>
      </c>
      <c r="B48" s="149" t="str">
        <f t="shared" si="6"/>
        <v>11</v>
      </c>
      <c r="C48" s="149" t="str">
        <f>+MID(VLOOKUP(A48,'Actividades de control'!$B$13:$C$176,2,0),5,LEN(VLOOKUP(A48,'Actividades de control'!$B$13:$C$176,2,0))-5)</f>
        <v xml:space="preserve"> Se cuenta con matrices de roles y usuarios siguiendo los principios de segregación de funciones.</v>
      </c>
      <c r="D48" s="149" t="s">
        <v>377</v>
      </c>
      <c r="E48" s="149" t="str">
        <f>+VLOOKUP(A48,'Actividades de control'!$B$18:$K$122,3,0)</f>
        <v xml:space="preserve">Dimension de Gestion con Valores para el Resultado
Politica de Fortalecimiento Organizacional y Simplificacion de Procesos.
</v>
      </c>
      <c r="F48" s="149" t="str">
        <f>+VLOOKUP(A48,'Actividades de control'!$B$18:$K$122,10,0)</f>
        <v>Mantenimiento del control</v>
      </c>
      <c r="G48" s="149">
        <f>+VLOOKUP(A48,'Actividades de control'!$B$13:$N$176,13,0)</f>
        <v>223.96539999999999</v>
      </c>
      <c r="H48" s="151">
        <f t="shared" si="2"/>
        <v>47</v>
      </c>
      <c r="I48" s="149" t="str">
        <f t="shared" si="5"/>
        <v>Cuando en el análisis de los requerimientos en los diferenes componentes del MECI se cuente con aspectos evaluados en nivel 1 (presente) y 1 (funcionando); 2 (presente) y 1 (funcionando).</v>
      </c>
      <c r="J48" s="149" t="s">
        <v>449</v>
      </c>
      <c r="K48" s="149">
        <f>+IF(ISBLANK(VLOOKUP(A48,'Actividades de control'!$B$21:$F$122,5,0)),"",VLOOKUP(A48,'Actividades de control'!$B$21:$F$122,5,0))</f>
        <v>3</v>
      </c>
      <c r="L48" s="149">
        <f>+IF(ISBLANK(VLOOKUP(A48,'Actividades de control'!$B$21:$J$122,9,0)),"",VLOOKUP(A48,'Actividades de control'!$B$21:$J$122,9,0))</f>
        <v>3</v>
      </c>
      <c r="M48" s="149">
        <f t="shared" si="4"/>
        <v>1</v>
      </c>
      <c r="N48" s="149">
        <f t="shared" si="3"/>
        <v>0.95833333333333337</v>
      </c>
      <c r="O48" s="149"/>
      <c r="P48" s="149"/>
    </row>
    <row r="49" spans="1:16" x14ac:dyDescent="0.2">
      <c r="A49" s="149" t="s">
        <v>452</v>
      </c>
      <c r="B49" s="149" t="str">
        <f t="shared" si="6"/>
        <v>11</v>
      </c>
      <c r="C49" s="149" t="str">
        <f>+MID(VLOOKUP(A49,'Actividades de control'!$B$13:$C$176,2,0),5,LEN(VLOOKUP(A49,'Actividades de control'!$B$13:$C$176,2,0))-5)</f>
        <v xml:space="preserve"> Se cuenta con información de la 3a línea de defensa, como evaluador independiente en relación con los controles implementados por el proveedor de servicios, para  asegurar que los riesgos relacionados se mitigan.</v>
      </c>
      <c r="D49" s="149" t="s">
        <v>377</v>
      </c>
      <c r="E49" s="149" t="str">
        <f>+VLOOKUP(A49,'Actividades de control'!$B$18:$K$122,3,0)</f>
        <v>Dimension Control Interno
Tercera Linea de Defensa</v>
      </c>
      <c r="F49" s="149" t="str">
        <f>+VLOOKUP(A49,'Actividades de control'!$B$18:$K$122,10,0)</f>
        <v>Mantenimiento del control</v>
      </c>
      <c r="G49" s="149">
        <f>+VLOOKUP(A49,'Actividades de control'!$B$13:$N$176,13,0)</f>
        <v>224.01230000000001</v>
      </c>
      <c r="H49" s="151">
        <f t="shared" si="2"/>
        <v>48</v>
      </c>
      <c r="I49" s="149" t="str">
        <f t="shared" si="5"/>
        <v>Cuando en el análisis de los requerimientos en los diferenes componentes del MECI se cuente con aspectos evaluados en nivel 1 (presente) y 1 (funcionando); 2 (presente) y 1 (funcionando).</v>
      </c>
      <c r="J49" s="149" t="s">
        <v>449</v>
      </c>
      <c r="K49" s="149">
        <f>+IF(ISBLANK(VLOOKUP(A49,'Actividades de control'!$B$21:$F$122,5,0)),"",VLOOKUP(A49,'Actividades de control'!$B$21:$F$122,5,0))</f>
        <v>3</v>
      </c>
      <c r="L49" s="149">
        <f>+IF(ISBLANK(VLOOKUP(A49,'Actividades de control'!$B$21:$J$122,9,0)),"",VLOOKUP(A49,'Actividades de control'!$B$21:$J$122,9,0))</f>
        <v>3</v>
      </c>
      <c r="M49" s="149">
        <f t="shared" si="4"/>
        <v>1</v>
      </c>
      <c r="N49" s="149">
        <f t="shared" si="3"/>
        <v>0.95833333333333337</v>
      </c>
      <c r="O49" s="149"/>
      <c r="P49" s="149"/>
    </row>
    <row r="50" spans="1:16" x14ac:dyDescent="0.2">
      <c r="A50" s="149" t="s">
        <v>453</v>
      </c>
      <c r="B50" s="149" t="str">
        <f t="shared" si="6"/>
        <v>12</v>
      </c>
      <c r="C50" s="149" t="str">
        <f>+MID(VLOOKUP(A50,'Actividades de control'!$B$13:$C$176,2,0),5,LEN(VLOOKUP(A50,'Actividades de control'!$B$13:$C$176,2,0))-5)</f>
        <v xml:space="preserve"> Se evalúa la actualización de procesos, procedimientos, políticas de operación, instructivos, manuales u otras herramientas para garantizar la aplicación adecuada de las principales actividades de control.
</v>
      </c>
      <c r="D50" s="149" t="s">
        <v>377</v>
      </c>
      <c r="E50" s="149" t="str">
        <f>+VLOOKUP(A50,'Actividades de control'!$B$18:$K$122,3,0)</f>
        <v>Dimension de Gestion con Valores para el Resultado
Politica de Fortalecimiento Organizacional y Simplificacion de Procesos.</v>
      </c>
      <c r="F50" s="149" t="str">
        <f>+VLOOKUP(A50,'Actividades de control'!$B$18:$K$122,10,0)</f>
        <v>Mantenimiento del control</v>
      </c>
      <c r="G50" s="149">
        <f>+VLOOKUP(A50,'Actividades de control'!$B$13:$N$176,13,0)</f>
        <v>224.12360000000001</v>
      </c>
      <c r="H50" s="151">
        <f t="shared" si="2"/>
        <v>49</v>
      </c>
      <c r="I50" s="149" t="str">
        <f t="shared" si="5"/>
        <v>Cuando en el análisis de los requerimientos en los diferenes componentes del MECI se cuente con aspectos evaluados en nivel 1 (presente) y 1 (funcionando); 2 (presente) y 1 (funcionando).</v>
      </c>
      <c r="J50" s="149" t="s">
        <v>454</v>
      </c>
      <c r="K50" s="149">
        <f>+IF(ISBLANK(VLOOKUP(A50,'Actividades de control'!$B$21:$F$122,5,0)),"",VLOOKUP(A50,'Actividades de control'!$B$21:$F$122,5,0))</f>
        <v>3</v>
      </c>
      <c r="L50" s="149">
        <f>+IF(ISBLANK(VLOOKUP(A50,'Actividades de control'!$B$21:$J$122,9,0)),"",VLOOKUP(A50,'Actividades de control'!$B$21:$J$122,9,0))</f>
        <v>3</v>
      </c>
      <c r="M50" s="149">
        <f t="shared" si="4"/>
        <v>1</v>
      </c>
      <c r="N50" s="149">
        <f t="shared" si="3"/>
        <v>0.95833333333333337</v>
      </c>
      <c r="O50" s="149"/>
      <c r="P50" s="149"/>
    </row>
    <row r="51" spans="1:16" x14ac:dyDescent="0.2">
      <c r="A51" s="149" t="s">
        <v>455</v>
      </c>
      <c r="B51" s="149" t="str">
        <f t="shared" si="6"/>
        <v>12</v>
      </c>
      <c r="C51" s="149" t="str">
        <f>+MID(VLOOKUP(A51,'Actividades de control'!$B$13:$C$176,2,0),6,LEN(VLOOKUP(A51,'Actividades de control'!$B$13:$C$176,2,0))-6)</f>
        <v xml:space="preserve"> El diseño de controles se evalúa frente a la gestión del riesgo</v>
      </c>
      <c r="D51" s="149" t="s">
        <v>377</v>
      </c>
      <c r="E51" s="149" t="str">
        <f>+VLOOKUP(A51,'Actividades de control'!$B$18:$K$122,3,0)</f>
        <v xml:space="preserve">Todas las Dimensiones de MIPG 
</v>
      </c>
      <c r="F51" s="149" t="str">
        <f>+VLOOKUP(A51,'Actividades de control'!$B$18:$K$122,10,0)</f>
        <v>Mantenimiento del control</v>
      </c>
      <c r="G51" s="149">
        <f>+VLOOKUP(A51,'Actividades de control'!$B$13:$N$176,13,0)</f>
        <v>224.23650000000001</v>
      </c>
      <c r="H51" s="151">
        <f t="shared" si="2"/>
        <v>50</v>
      </c>
      <c r="I51" s="149" t="str">
        <f t="shared" si="5"/>
        <v>Cuando en el análisis de los requerimientos en los diferenes componentes del MECI se cuente con aspectos evaluados en nivel 1 (presente) y 1 (funcionando); 2 (presente) y 1 (funcionando).</v>
      </c>
      <c r="J51" s="149" t="s">
        <v>454</v>
      </c>
      <c r="K51" s="149">
        <f>+IF(ISBLANK(VLOOKUP(A51,'Actividades de control'!$B$21:$F$122,5,0)),"",VLOOKUP(A51,'Actividades de control'!$B$21:$F$122,5,0))</f>
        <v>3</v>
      </c>
      <c r="L51" s="149">
        <f>+IF(ISBLANK(VLOOKUP(A51,'Actividades de control'!$B$21:$J$122,9,0)),"",VLOOKUP(A51,'Actividades de control'!$B$21:$J$122,9,0))</f>
        <v>3</v>
      </c>
      <c r="M51" s="149">
        <f t="shared" si="4"/>
        <v>1</v>
      </c>
      <c r="N51" s="149">
        <f t="shared" si="3"/>
        <v>0.95833333333333337</v>
      </c>
      <c r="O51" s="149"/>
      <c r="P51" s="149"/>
    </row>
    <row r="52" spans="1:16" x14ac:dyDescent="0.2">
      <c r="A52" s="149" t="s">
        <v>456</v>
      </c>
      <c r="B52" s="149" t="str">
        <f t="shared" si="6"/>
        <v>12</v>
      </c>
      <c r="C52" s="149" t="str">
        <f>+MID(VLOOKUP(A52,'Actividades de control'!$B$13:$C$176,2,0),6,LEN(VLOOKUP(A52,'Actividades de control'!$B$13:$C$176,2,0))-6)</f>
        <v xml:space="preserve"> Monitoreo a los riesgos acorde con la política de administración de riesgo establecida para la entidad.</v>
      </c>
      <c r="D52" s="149" t="s">
        <v>377</v>
      </c>
      <c r="E52" s="149" t="str">
        <f>+VLOOKUP(A52,'Actividades de control'!$B$18:$K$122,3,0)</f>
        <v>Dimension de Direccionamiento Estrategico y Planeacion
Politica de Planeacion Institucional.</v>
      </c>
      <c r="F52" s="149" t="str">
        <f>+VLOOKUP(A52,'Actividades de control'!$B$18:$K$122,10,0)</f>
        <v>Mantenimiento del control</v>
      </c>
      <c r="G52" s="149">
        <f>+VLOOKUP(A52,'Actividades de control'!$B$13:$N$176,13,0)</f>
        <v>224.23656</v>
      </c>
      <c r="H52" s="151">
        <f t="shared" si="2"/>
        <v>51</v>
      </c>
      <c r="I52" s="149" t="str">
        <f t="shared" si="5"/>
        <v>Cuando en el análisis de los requerimientos en los diferenes componentes del MECI se cuente con aspectos evaluados en nivel 1 (presente) y 1 (funcionando); 2 (presente) y 1 (funcionando).</v>
      </c>
      <c r="J52" s="149" t="s">
        <v>454</v>
      </c>
      <c r="K52" s="149">
        <f>+IF(ISBLANK(VLOOKUP(A52,'Actividades de control'!$B$21:$F$122,5,0)),"",VLOOKUP(A52,'Actividades de control'!$B$21:$F$122,5,0))</f>
        <v>3</v>
      </c>
      <c r="L52" s="149">
        <f>+IF(ISBLANK(VLOOKUP(A52,'Actividades de control'!$B$21:$J$122,9,0)),"",VLOOKUP(A52,'Actividades de control'!$B$21:$J$122,9,0))</f>
        <v>3</v>
      </c>
      <c r="M52" s="149">
        <f t="shared" si="4"/>
        <v>1</v>
      </c>
      <c r="N52" s="149">
        <f t="shared" si="3"/>
        <v>0.95833333333333337</v>
      </c>
      <c r="O52" s="149"/>
      <c r="P52" s="149"/>
    </row>
    <row r="53" spans="1:16" x14ac:dyDescent="0.2">
      <c r="A53" s="149" t="s">
        <v>457</v>
      </c>
      <c r="B53" s="149" t="str">
        <f t="shared" si="6"/>
        <v>12</v>
      </c>
      <c r="C53" s="149" t="str">
        <f>+MID(VLOOKUP(A53,'Actividades de control'!$B$13:$C$176,2,0),6,LEN(VLOOKUP(A53,'Actividades de control'!$B$13:$C$176,2,0))-6)</f>
        <v>Verificación de que los responsables estén ejecutando los controles tal como han sido diseñados</v>
      </c>
      <c r="D53" s="149" t="s">
        <v>377</v>
      </c>
      <c r="E53" s="149" t="str">
        <f>+VLOOKUP(A53,'Actividades de control'!$B$18:$K$122,3,0)</f>
        <v>Dimension Control Interno
Segunda Linea de Defensa</v>
      </c>
      <c r="F53" s="149" t="str">
        <f>+VLOOKUP(A53,'Actividades de control'!$B$18:$K$122,10,0)</f>
        <v>Mantenimiento del control</v>
      </c>
      <c r="G53" s="149">
        <f>+VLOOKUP(A53,'Actividades de control'!$B$13:$N$176,13,0)</f>
        <v>224.23656800000001</v>
      </c>
      <c r="H53" s="151">
        <f>+_xlfn.RANK.EQ(G53,$G$2:$G$82,1)</f>
        <v>52</v>
      </c>
      <c r="I53" s="149" t="str">
        <f t="shared" si="5"/>
        <v>Cuando en el análisis de los requerimientos en los diferenes componentes del MECI se cuente con aspectos evaluados en nivel 1 (presente) y 1 (funcionando); 2 (presente) y 1 (funcionando).</v>
      </c>
      <c r="J53" s="149" t="s">
        <v>454</v>
      </c>
      <c r="K53" s="149">
        <f>+IF(ISBLANK(VLOOKUP(A53,'Actividades de control'!$B$21:$F$122,5,0)),"",VLOOKUP(A53,'Actividades de control'!$B$21:$F$122,5,0))</f>
        <v>3</v>
      </c>
      <c r="L53" s="149">
        <f>+IF(ISBLANK(VLOOKUP(A53,'Actividades de control'!$B$21:$J$122,9,0)),"",VLOOKUP(A53,'Actividades de control'!$B$21:$J$122,9,0))</f>
        <v>3</v>
      </c>
      <c r="M53" s="149">
        <f t="shared" si="4"/>
        <v>1</v>
      </c>
      <c r="N53" s="149">
        <f>+AVERAGEIF($D$2:$D$82,D53,$M$2:$M$82)</f>
        <v>0.95833333333333337</v>
      </c>
      <c r="O53" s="149"/>
      <c r="P53" s="149"/>
    </row>
    <row r="54" spans="1:16" x14ac:dyDescent="0.2">
      <c r="A54" s="149" t="s">
        <v>458</v>
      </c>
      <c r="B54" s="149" t="str">
        <f t="shared" si="6"/>
        <v>12</v>
      </c>
      <c r="C54" s="149" t="str">
        <f>+MID(VLOOKUP(A54,'Actividades de control'!$B$13:$C$176,2,0),6,LEN(VLOOKUP(A54,'Actividades de control'!$B$13:$C$176,2,0))-6)</f>
        <v xml:space="preserve"> Se evalúa la adecuación de los controles a las especificidades de cada proceso, considerando cambios en regulaciones, estructuras internas u otros aspectos que determinen cambios en su diseño</v>
      </c>
      <c r="D54" s="149" t="s">
        <v>377</v>
      </c>
      <c r="E54" s="149" t="str">
        <f>+VLOOKUP(A54,'Actividades de control'!$B$18:$K$122,3,0)</f>
        <v>Dimension Control Interno
 Lineas de Defensa</v>
      </c>
      <c r="F54" s="149" t="str">
        <f>+VLOOKUP(A54,'Actividades de control'!$B$18:$K$122,10,0)</f>
        <v>Mantenimiento del control</v>
      </c>
      <c r="G54" s="149">
        <f>+VLOOKUP(A54,'Actividades de control'!$B$13:$N$176,13,0)</f>
        <v>224.3569</v>
      </c>
      <c r="H54" s="151">
        <f>+_xlfn.RANK.EQ(G54,$G$2:$G$82,1)</f>
        <v>53</v>
      </c>
      <c r="I54" s="149" t="str">
        <f t="shared" si="5"/>
        <v>Cuando en el análisis de los requerimientos en los diferenes componentes del MECI se cuente con aspectos evaluados en nivel 1 (presente) y 1 (funcionando); 2 (presente) y 1 (funcionando).</v>
      </c>
      <c r="J54" s="149" t="s">
        <v>454</v>
      </c>
      <c r="K54" s="149">
        <f>+IF(ISBLANK(VLOOKUP(A54,'Actividades de control'!$B$21:$F$122,5,0)),"",VLOOKUP(A54,'Actividades de control'!$B$21:$F$122,5,0))</f>
        <v>3</v>
      </c>
      <c r="L54" s="149">
        <f>+IF(ISBLANK(VLOOKUP(A54,'Actividades de control'!$B$21:$J$122,9,0)),"",VLOOKUP(A54,'Actividades de control'!$B$21:$J$122,9,0))</f>
        <v>3</v>
      </c>
      <c r="M54" s="149">
        <f t="shared" si="4"/>
        <v>1</v>
      </c>
      <c r="N54" s="149">
        <f>+AVERAGEIF($D$2:$D$82,D54,$M$2:$M$82)</f>
        <v>0.95833333333333337</v>
      </c>
      <c r="O54" s="149"/>
      <c r="P54" s="149"/>
    </row>
    <row r="55" spans="1:16" ht="12.75" customHeight="1" x14ac:dyDescent="0.2">
      <c r="A55" s="149" t="s">
        <v>459</v>
      </c>
      <c r="B55" s="149" t="str">
        <f t="shared" si="6"/>
        <v>13</v>
      </c>
      <c r="C55" s="149" t="str">
        <f>+MID(VLOOKUP(A55,'Info y Comunicación'!$B$13:$C$160,2,0),6,LEN(VLOOKUP(A55,'Info y Comunicación'!$B$13:$C$160,2,0))-6)</f>
        <v>La entidad ha diseñado sistemas de información para capturar y procesar datos y transformarlos en información para alcanzar los requerimientos de información definidos</v>
      </c>
      <c r="D55" s="149" t="s">
        <v>460</v>
      </c>
      <c r="E55" s="149" t="str">
        <f>+VLOOKUP(A55,'Info y Comunicación'!$B$15:$K$138,3,0)</f>
        <v xml:space="preserve">Dimension de Informacion y comunicación 
</v>
      </c>
      <c r="F55" s="149" t="str">
        <f>+VLOOKUP(A55,'Info y Comunicación'!$B$15:$K$138,10,0)</f>
        <v>Mantenimiento del control</v>
      </c>
      <c r="G55" s="149">
        <f>+VLOOKUP(A55,'Info y Comunicación'!$B$13:$N$160,13,0)</f>
        <v>304.45690000000002</v>
      </c>
      <c r="H55" s="151">
        <f t="shared" si="2"/>
        <v>54</v>
      </c>
      <c r="I55" s="149" t="str">
        <f t="shared" si="5"/>
        <v>Cuando en el análisis de los requerimientos en los diferenes componentes del MECI se cuente con aspectos evaluados en nivel 1 (presente) y 1 (funcionando); 2 (presente) y 1 (funcionando).</v>
      </c>
      <c r="J55" s="149" t="s">
        <v>461</v>
      </c>
      <c r="K55" s="149">
        <f>+IF(ISBLANK(VLOOKUP(A55,'Info y Comunicación'!$B$19:$F$138,5,0)),"",VLOOKUP(A55,'Info y Comunicación'!$B$19:$F$138,5,0))</f>
        <v>3</v>
      </c>
      <c r="L55" s="149">
        <f>+IF(ISBLANK(VLOOKUP(A55,'Info y Comunicación'!$B$19:$J$138,9,0)),"",VLOOKUP(A55,'Info y Comunicación'!$B$19:$J$138,9,0))</f>
        <v>3</v>
      </c>
      <c r="M55" s="149">
        <f t="shared" si="4"/>
        <v>1</v>
      </c>
      <c r="N55" s="149">
        <f>+AVERAGEIF($D$2:$D$82,D55,$M$2:$M$82)</f>
        <v>1</v>
      </c>
      <c r="O55" s="149"/>
      <c r="P55" s="149"/>
    </row>
    <row r="56" spans="1:16" ht="12.75" customHeight="1" x14ac:dyDescent="0.2">
      <c r="A56" s="149" t="s">
        <v>462</v>
      </c>
      <c r="B56" s="149" t="str">
        <f t="shared" si="6"/>
        <v>13</v>
      </c>
      <c r="C56" s="149" t="str">
        <f>+MID(VLOOKUP(A56,'Info y Comunicación'!$B$13:$C$160,2,0),6,LEN(VLOOKUP(A56,'Info y Comunicación'!$B$13:$C$160,2,0))-6)</f>
        <v xml:space="preserve"> La entidad cuenta con el inventario de información relevante (interno/externa) y cuenta con un mecanismo que permita su actualización</v>
      </c>
      <c r="D56" s="149" t="s">
        <v>460</v>
      </c>
      <c r="E56" s="149" t="str">
        <f>+VLOOKUP(A56,'Info y Comunicación'!$B$15:$K$138,3,0)</f>
        <v>Dimension de Informacion y comunicación 
Politica de Transparencia y Acceso a la Informaciòn Publica</v>
      </c>
      <c r="F56" s="149" t="str">
        <f>+VLOOKUP(A56,'Info y Comunicación'!$B$15:$K$138,10,0)</f>
        <v>Mantenimiento del control</v>
      </c>
      <c r="G56" s="149">
        <f>+VLOOKUP(A56,'Info y Comunicación'!$B$13:$N$160,13,0)</f>
        <v>304.56319999999999</v>
      </c>
      <c r="H56" s="151">
        <f t="shared" si="2"/>
        <v>55</v>
      </c>
      <c r="I56" s="149" t="str">
        <f t="shared" si="5"/>
        <v>Cuando en el análisis de los requerimientos en los diferenes componentes del MECI se cuente con aspectos evaluados en nivel 1 (presente) y 1 (funcionando); 2 (presente) y 1 (funcionando).</v>
      </c>
      <c r="J56" s="149" t="s">
        <v>461</v>
      </c>
      <c r="K56" s="149">
        <f>+IF(ISBLANK(VLOOKUP(A56,'Info y Comunicación'!$B$19:$F$138,5,0)),"",VLOOKUP(A56,'Info y Comunicación'!$B$19:$F$138,5,0))</f>
        <v>3</v>
      </c>
      <c r="L56" s="149">
        <f>+IF(ISBLANK(VLOOKUP(A56,'Info y Comunicación'!$B$19:$J$138,9,0)),"",VLOOKUP(A56,'Info y Comunicación'!$B$19:$J$138,9,0))</f>
        <v>3</v>
      </c>
      <c r="M56" s="149">
        <f t="shared" si="4"/>
        <v>1</v>
      </c>
      <c r="N56" s="149">
        <f t="shared" si="3"/>
        <v>1</v>
      </c>
      <c r="O56" s="149"/>
      <c r="P56" s="149"/>
    </row>
    <row r="57" spans="1:16" ht="12.75" customHeight="1" x14ac:dyDescent="0.2">
      <c r="A57" s="149" t="s">
        <v>463</v>
      </c>
      <c r="B57" s="149" t="str">
        <f t="shared" si="6"/>
        <v>13</v>
      </c>
      <c r="C57" s="149" t="str">
        <f>+MID(VLOOKUP(A57,'Info y Comunicación'!$B$13:$C$160,2,0),6,LEN(VLOOKUP(A57,'Info y Comunicación'!$B$13:$C$160,2,0))-6)</f>
        <v>La entidad considera un ámbito amplio de fuentes de datos (internas y externas), para la captura y procesamiento posterior de información clave para la consecución de metas y objetivos</v>
      </c>
      <c r="D57" s="149" t="s">
        <v>460</v>
      </c>
      <c r="E57" s="149" t="str">
        <f>+VLOOKUP(A57,'Info y Comunicación'!$B$15:$K$138,3,0)</f>
        <v>Dimension de Informacion y comunicación 
Politica de Transparencia y Acceso a la Informaciòn Publica</v>
      </c>
      <c r="F57" s="149" t="str">
        <f>+VLOOKUP(A57,'Info y Comunicación'!$B$15:$K$138,10,0)</f>
        <v>Mantenimiento del control</v>
      </c>
      <c r="G57" s="149">
        <f>+VLOOKUP(A57,'Info y Comunicación'!$B$13:$N$160,13,0)</f>
        <v>304.63209999999998</v>
      </c>
      <c r="H57" s="151">
        <f t="shared" si="2"/>
        <v>56</v>
      </c>
      <c r="I57" s="149" t="str">
        <f t="shared" si="5"/>
        <v>Cuando en el análisis de los requerimientos en los diferenes componentes del MECI se cuente con aspectos evaluados en nivel 1 (presente) y 1 (funcionando); 2 (presente) y 1 (funcionando).</v>
      </c>
      <c r="J57" s="149" t="s">
        <v>461</v>
      </c>
      <c r="K57" s="149">
        <f>+IF(ISBLANK(VLOOKUP(A57,'Info y Comunicación'!$B$19:$F$138,5,0)),"",VLOOKUP(A57,'Info y Comunicación'!$B$19:$F$138,5,0))</f>
        <v>3</v>
      </c>
      <c r="L57" s="149">
        <f>+IF(ISBLANK(VLOOKUP(A57,'Info y Comunicación'!$B$19:$J$138,9,0)),"",VLOOKUP(A57,'Info y Comunicación'!$B$19:$J$138,9,0))</f>
        <v>3</v>
      </c>
      <c r="M57" s="149">
        <f t="shared" si="4"/>
        <v>1</v>
      </c>
      <c r="N57" s="149">
        <f t="shared" si="3"/>
        <v>1</v>
      </c>
      <c r="O57" s="149"/>
      <c r="P57" s="149"/>
    </row>
    <row r="58" spans="1:16" ht="12.75" customHeight="1" x14ac:dyDescent="0.2">
      <c r="A58" s="149" t="s">
        <v>464</v>
      </c>
      <c r="B58" s="149" t="str">
        <f t="shared" si="6"/>
        <v>13</v>
      </c>
      <c r="C58" s="149" t="str">
        <f>+MID(VLOOKUP(A58,'Info y Comunicación'!$B$13:$C$160,2,0),6,LEN(VLOOKUP(A58,'Info y Comunicación'!$B$13:$C$160,2,0))-6)</f>
        <v>La entidad ha desarrollado e implementado actividades de control sobre la integridad, confidencialidad y disponibilidad de los datos e información definidos como relevantes</v>
      </c>
      <c r="D58" s="149" t="s">
        <v>460</v>
      </c>
      <c r="E58" s="149" t="str">
        <f>+VLOOKUP(A58,'Info y Comunicación'!$B$15:$K$138,3,0)</f>
        <v>Dimension de Informacion y comunicación 
Politica de Transparencia y Acceso a la Informaciòn Publica</v>
      </c>
      <c r="F58" s="149" t="str">
        <f>+VLOOKUP(A58,'Info y Comunicación'!$B$15:$K$138,10,0)</f>
        <v>Mantenimiento del control</v>
      </c>
      <c r="G58" s="149">
        <f>+VLOOKUP(A58,'Info y Comunicación'!$B$13:$N$160,13,0)</f>
        <v>304.78960000000001</v>
      </c>
      <c r="H58" s="151">
        <f t="shared" si="2"/>
        <v>57</v>
      </c>
      <c r="I58" s="149" t="str">
        <f t="shared" si="5"/>
        <v>Cuando en el análisis de los requerimientos en los diferenes componentes del MECI se cuente con aspectos evaluados en nivel 1 (presente) y 1 (funcionando); 2 (presente) y 1 (funcionando).</v>
      </c>
      <c r="J58" s="149" t="s">
        <v>461</v>
      </c>
      <c r="K58" s="149">
        <f>+IF(ISBLANK(VLOOKUP(A58,'Info y Comunicación'!$B$19:$F$138,5,0)),"",VLOOKUP(A58,'Info y Comunicación'!$B$19:$F$138,5,0))</f>
        <v>3</v>
      </c>
      <c r="L58" s="149">
        <f>+IF(ISBLANK(VLOOKUP(A58,'Info y Comunicación'!$B$19:$J$138,9,0)),"",VLOOKUP(A58,'Info y Comunicación'!$B$19:$J$138,9,0))</f>
        <v>3</v>
      </c>
      <c r="M58" s="149">
        <f t="shared" si="4"/>
        <v>1</v>
      </c>
      <c r="N58" s="149">
        <f t="shared" si="3"/>
        <v>1</v>
      </c>
      <c r="O58" s="149"/>
      <c r="P58" s="149"/>
    </row>
    <row r="59" spans="1:16" ht="12.75" customHeight="1" x14ac:dyDescent="0.2">
      <c r="A59" s="149" t="s">
        <v>465</v>
      </c>
      <c r="B59" s="149" t="str">
        <f t="shared" si="6"/>
        <v>14</v>
      </c>
      <c r="C59" s="149" t="str">
        <f>+MID(VLOOKUP(A59,'Info y Comunicación'!$B$13:$C$160,2,0),6,LEN(VLOOKUP(A59,'Info y Comunicación'!$B$13:$C$160,2,0))-6)</f>
        <v>Para la comunicación interna la Alta Dirección tiene mecanismos que permitan dar a conocer los objetivos y metas estratégicas, de manera tal que todo el personal entiende su papel en su consecución. (Considera los canales más apropiados y evalúa su efectividad)</v>
      </c>
      <c r="D59" s="149" t="s">
        <v>460</v>
      </c>
      <c r="E59" s="149" t="str">
        <f>+VLOOKUP(A59,'Info y Comunicación'!$B$15:$K$138,3,0)</f>
        <v xml:space="preserve">Dimension de Informacion y comunicación
</v>
      </c>
      <c r="F59" s="149" t="str">
        <f>+VLOOKUP(A59,'Info y Comunicación'!$B$15:$K$138,10,0)</f>
        <v>Mantenimiento del control</v>
      </c>
      <c r="G59" s="149">
        <f>+VLOOKUP(A59,'Info y Comunicación'!$B$13:$N$160,13,0)</f>
        <v>304.8965</v>
      </c>
      <c r="H59" s="151">
        <f t="shared" si="2"/>
        <v>58</v>
      </c>
      <c r="I59" s="149" t="str">
        <f t="shared" si="5"/>
        <v>Cuando en el análisis de los requerimientos en los diferenes componentes del MECI se cuente con aspectos evaluados en nivel 1 (presente) y 1 (funcionando); 2 (presente) y 1 (funcionando).</v>
      </c>
      <c r="J59" s="149" t="s">
        <v>466</v>
      </c>
      <c r="K59" s="149">
        <f>+IF(ISBLANK(VLOOKUP(A59,'Info y Comunicación'!$B$19:$F$138,5,0)),"",VLOOKUP(A59,'Info y Comunicación'!$B$19:$F$138,5,0))</f>
        <v>3</v>
      </c>
      <c r="L59" s="149">
        <f>+IF(ISBLANK(VLOOKUP(A59,'Info y Comunicación'!$B$19:$J$138,9,0)),"",VLOOKUP(A59,'Info y Comunicación'!$B$19:$J$138,9,0))</f>
        <v>3</v>
      </c>
      <c r="M59" s="149">
        <f t="shared" si="4"/>
        <v>1</v>
      </c>
      <c r="N59" s="149">
        <f t="shared" si="3"/>
        <v>1</v>
      </c>
      <c r="O59" s="149"/>
      <c r="P59" s="149"/>
    </row>
    <row r="60" spans="1:16" ht="12.75" customHeight="1" x14ac:dyDescent="0.2">
      <c r="A60" s="149" t="s">
        <v>467</v>
      </c>
      <c r="B60" s="149" t="str">
        <f t="shared" si="6"/>
        <v>14</v>
      </c>
      <c r="C60" s="149" t="str">
        <f>+MID(VLOOKUP(A60,'Info y Comunicación'!$B$13:$C$160,2,0),6,LEN(VLOOKUP(A60,'Info y Comunicación'!$B$13:$C$160,2,0))-6)</f>
        <v>La entidad cuenta con políticas de operación relacionadas con la administración de la información (niveles de autoridad y responsabilidad</v>
      </c>
      <c r="D60" s="149" t="s">
        <v>460</v>
      </c>
      <c r="E60" s="149" t="str">
        <f>+VLOOKUP(A60,'Info y Comunicación'!$B$15:$K$138,3,0)</f>
        <v xml:space="preserve">Dimension de Informacion y comunicación
</v>
      </c>
      <c r="F60" s="149" t="str">
        <f>+VLOOKUP(A60,'Info y Comunicación'!$B$15:$K$138,10,0)</f>
        <v>Mantenimiento del control</v>
      </c>
      <c r="G60" s="149">
        <f>+VLOOKUP(A60,'Info y Comunicación'!$B$13:$N$160,13,0)</f>
        <v>304.98540000000003</v>
      </c>
      <c r="H60" s="151">
        <f t="shared" si="2"/>
        <v>59</v>
      </c>
      <c r="I60" s="149" t="str">
        <f t="shared" si="5"/>
        <v>Cuando en el análisis de los requerimientos en los diferenes componentes del MECI se cuente con aspectos evaluados en nivel 1 (presente) y 1 (funcionando); 2 (presente) y 1 (funcionando).</v>
      </c>
      <c r="J60" s="149" t="s">
        <v>466</v>
      </c>
      <c r="K60" s="149">
        <f>+IF(ISBLANK(VLOOKUP(A60,'Info y Comunicación'!$B$19:$F$138,5,0)),"",VLOOKUP(A60,'Info y Comunicación'!$B$19:$F$138,5,0))</f>
        <v>3</v>
      </c>
      <c r="L60" s="149">
        <f>+IF(ISBLANK(VLOOKUP(A60,'Info y Comunicación'!$B$19:$J$138,9,0)),"",VLOOKUP(A60,'Info y Comunicación'!$B$19:$J$138,9,0))</f>
        <v>3</v>
      </c>
      <c r="M60" s="149">
        <f t="shared" si="4"/>
        <v>1</v>
      </c>
      <c r="N60" s="149">
        <f t="shared" si="3"/>
        <v>1</v>
      </c>
      <c r="O60" s="149"/>
      <c r="P60" s="149"/>
    </row>
    <row r="61" spans="1:16" ht="12.75" customHeight="1" x14ac:dyDescent="0.2">
      <c r="A61" s="149" t="s">
        <v>468</v>
      </c>
      <c r="B61" s="149" t="str">
        <f t="shared" si="6"/>
        <v>14</v>
      </c>
      <c r="C61" s="149" t="str">
        <f>+MID(VLOOKUP(A61,'Info y Comunicación'!$B$13:$C$160,2,0),6,LEN(VLOOKUP(A61,'Info y Comunicación'!$B$13:$C$160,2,0))-6)</f>
        <v>La entidad cuenta con canales de información internos para la denuncia anónima o confidencial de posibles situaciones irregulares y se cuenta con mecanismos específicos para su manejo, de manera tal que generen la confianza para utilizarlos</v>
      </c>
      <c r="D61" s="149" t="s">
        <v>460</v>
      </c>
      <c r="E61" s="149" t="str">
        <f>+VLOOKUP(A61,'Info y Comunicación'!$B$15:$K$138,3,0)</f>
        <v xml:space="preserve">Dimension de Informacion y comunicación
</v>
      </c>
      <c r="F61" s="149" t="str">
        <f>+VLOOKUP(A61,'Info y Comunicación'!$B$15:$K$138,10,0)</f>
        <v>Mantenimiento del control</v>
      </c>
      <c r="G61" s="149">
        <f>+VLOOKUP(A61,'Info y Comunicación'!$B$13:$N$160,13,0)</f>
        <v>305.01229999999998</v>
      </c>
      <c r="H61" s="151">
        <f t="shared" si="2"/>
        <v>60</v>
      </c>
      <c r="I61" s="149" t="str">
        <f t="shared" si="5"/>
        <v>Cuando en el análisis de los requerimientos en los diferenes componentes del MECI se cuente con aspectos evaluados en nivel 1 (presente) y 1 (funcionando); 2 (presente) y 1 (funcionando).</v>
      </c>
      <c r="J61" s="149" t="s">
        <v>466</v>
      </c>
      <c r="K61" s="149">
        <f>+IF(ISBLANK(VLOOKUP(A61,'Info y Comunicación'!$B$19:$F$138,5,0)),"",VLOOKUP(A61,'Info y Comunicación'!$B$19:$F$138,5,0))</f>
        <v>3</v>
      </c>
      <c r="L61" s="149">
        <f>+IF(ISBLANK(VLOOKUP(A61,'Info y Comunicación'!$B$19:$J$138,9,0)),"",VLOOKUP(A61,'Info y Comunicación'!$B$19:$J$138,9,0))</f>
        <v>3</v>
      </c>
      <c r="M61" s="149">
        <f t="shared" si="4"/>
        <v>1</v>
      </c>
      <c r="N61" s="149">
        <f t="shared" si="3"/>
        <v>1</v>
      </c>
      <c r="O61" s="149"/>
      <c r="P61" s="149"/>
    </row>
    <row r="62" spans="1:16" ht="12.75" customHeight="1" x14ac:dyDescent="0.2">
      <c r="A62" s="149" t="s">
        <v>469</v>
      </c>
      <c r="B62" s="149" t="str">
        <f t="shared" si="6"/>
        <v>14</v>
      </c>
      <c r="C62" s="149" t="str">
        <f>+MID(VLOOKUP(A62,'Info y Comunicación'!$B$13:$C$160,2,0),6,LEN(VLOOKUP(A62,'Info y Comunicación'!$B$13:$C$160,2,0))-6)</f>
        <v>La entidad establece e implementa políticas y procedimientos para facilitar una comunicación interna efectiva</v>
      </c>
      <c r="D62" s="149" t="s">
        <v>460</v>
      </c>
      <c r="E62" s="149" t="str">
        <f>+VLOOKUP(A62,'Info y Comunicación'!$B$15:$K$138,3,0)</f>
        <v xml:space="preserve">Dimension de Informacion y comunicación
</v>
      </c>
      <c r="F62" s="149" t="str">
        <f>+VLOOKUP(A62,'Info y Comunicación'!$B$15:$K$138,10,0)</f>
        <v>Mantenimiento del control</v>
      </c>
      <c r="G62" s="149">
        <f>+VLOOKUP(A62,'Info y Comunicación'!$B$13:$N$160,13,0)</f>
        <v>305.12360000000001</v>
      </c>
      <c r="H62" s="151">
        <f t="shared" si="2"/>
        <v>61</v>
      </c>
      <c r="I62" s="149" t="str">
        <f t="shared" si="5"/>
        <v>Cuando en el análisis de los requerimientos en los diferenes componentes del MECI se cuente con aspectos evaluados en nivel 1 (presente) y 1 (funcionando); 2 (presente) y 1 (funcionando).</v>
      </c>
      <c r="J62" s="149" t="s">
        <v>466</v>
      </c>
      <c r="K62" s="149">
        <f>+IF(ISBLANK(VLOOKUP(A62,'Info y Comunicación'!$B$19:$F$138,5,0)),"",VLOOKUP(A62,'Info y Comunicación'!$B$19:$F$138,5,0))</f>
        <v>3</v>
      </c>
      <c r="L62" s="149">
        <f>+IF(ISBLANK(VLOOKUP(A62,'Info y Comunicación'!$B$19:$J$138,9,0)),"",VLOOKUP(A62,'Info y Comunicación'!$B$19:$J$138,9,0))</f>
        <v>3</v>
      </c>
      <c r="M62" s="149">
        <f t="shared" si="4"/>
        <v>1</v>
      </c>
      <c r="N62" s="149">
        <f t="shared" si="3"/>
        <v>1</v>
      </c>
      <c r="O62" s="149"/>
      <c r="P62" s="149"/>
    </row>
    <row r="63" spans="1:16" ht="12.75" customHeight="1" x14ac:dyDescent="0.2">
      <c r="A63" s="149" t="s">
        <v>470</v>
      </c>
      <c r="B63" s="149" t="str">
        <f t="shared" si="6"/>
        <v>15</v>
      </c>
      <c r="C63" s="149" t="str">
        <f>+MID(VLOOKUP(A63,'Info y Comunicación'!$B$13:$C$160,2,0),6,LEN(VLOOKUP(A63,'Info y Comunicación'!$B$13:$C$160,2,0))-6)</f>
        <v>La entidad desarrolla e implementa controles que facilitan la comunicación externa, la cual incluye  políticas y procedimientos. 
Incluye contratistas y proveedores de servicios tercerizados (cuando aplique).</v>
      </c>
      <c r="D63" s="149" t="s">
        <v>460</v>
      </c>
      <c r="E63" s="149" t="str">
        <f>+VLOOKUP(A63,'Info y Comunicación'!$B$15:$K$138,3,0)</f>
        <v xml:space="preserve">
Dimension de Informacion y Comunicación
Dimension de Control Interno
Primera Linea de Defensa</v>
      </c>
      <c r="F63" s="149" t="str">
        <f>+VLOOKUP(A63,'Info y Comunicación'!$B$15:$K$138,10,0)</f>
        <v>Mantenimiento del control</v>
      </c>
      <c r="G63" s="149">
        <f>+VLOOKUP(A63,'Info y Comunicación'!$B$13:$N$160,13,0)</f>
        <v>305.23689999999999</v>
      </c>
      <c r="H63" s="151">
        <f t="shared" si="2"/>
        <v>62</v>
      </c>
      <c r="I63" s="149" t="str">
        <f t="shared" si="5"/>
        <v>Cuando en el análisis de los requerimientos en los diferenes componentes del MECI se cuente con aspectos evaluados en nivel 1 (presente) y 1 (funcionando); 2 (presente) y 1 (funcionando).</v>
      </c>
      <c r="J63" s="149" t="s">
        <v>471</v>
      </c>
      <c r="K63" s="149">
        <f>+IF(ISBLANK(VLOOKUP(A63,'Info y Comunicación'!$B$19:$F$138,5,0)),"",VLOOKUP(A63,'Info y Comunicación'!$B$19:$F$138,5,0))</f>
        <v>3</v>
      </c>
      <c r="L63" s="149">
        <f>+IF(ISBLANK(VLOOKUP(A63,'Info y Comunicación'!$B$19:$J$138,9,0)),"",VLOOKUP(A63,'Info y Comunicación'!$B$19:$J$138,9,0))</f>
        <v>3</v>
      </c>
      <c r="M63" s="149">
        <f t="shared" si="4"/>
        <v>1</v>
      </c>
      <c r="N63" s="149">
        <f t="shared" si="3"/>
        <v>1</v>
      </c>
      <c r="O63" s="149"/>
      <c r="P63" s="149"/>
    </row>
    <row r="64" spans="1:16" x14ac:dyDescent="0.2">
      <c r="A64" s="149" t="s">
        <v>472</v>
      </c>
      <c r="B64" s="149" t="str">
        <f t="shared" si="6"/>
        <v>15</v>
      </c>
      <c r="C64" s="149" t="str">
        <f>+MID(VLOOKUP(A64,'Info y Comunicación'!$B$13:$C$160,2,0),6,LEN(VLOOKUP(A64,'Info y Comunicación'!$B$13:$C$160,2,0))-6)</f>
        <v>La entidad cuenta con canales externos definidos de comunicación, asociados con el tipo de información a divulgar, y éstos son reconocidos a todo nivel de la organización.</v>
      </c>
      <c r="D64" s="149" t="s">
        <v>460</v>
      </c>
      <c r="E64" s="149" t="str">
        <f>+VLOOKUP(A64,'Info y Comunicación'!$B$15:$K$138,3,0)</f>
        <v xml:space="preserve">Dimension de Informacion y Comunicación
Politica de Transparencia, acceso a la información pública y lucha
contra la corrupción </v>
      </c>
      <c r="F64" s="149" t="str">
        <f>+VLOOKUP(A64,'Info y Comunicación'!$B$15:$K$138,10,0)</f>
        <v>Mantenimiento del control</v>
      </c>
      <c r="G64" s="149">
        <f>+VLOOKUP(A64,'Info y Comunicación'!$B$13:$N$160,13,0)</f>
        <v>305.36540000000002</v>
      </c>
      <c r="H64" s="151">
        <f t="shared" si="2"/>
        <v>63</v>
      </c>
      <c r="I64" s="149" t="str">
        <f t="shared" si="5"/>
        <v>Cuando en el análisis de los requerimientos en los diferenes componentes del MECI se cuente con aspectos evaluados en nivel 1 (presente) y 1 (funcionando); 2 (presente) y 1 (funcionando).</v>
      </c>
      <c r="J64" s="149" t="s">
        <v>471</v>
      </c>
      <c r="K64" s="149">
        <f>+IF(ISBLANK(VLOOKUP(A64,'Info y Comunicación'!$B$19:$F$138,5,0)),"",VLOOKUP(A64,'Info y Comunicación'!$B$19:$F$138,5,0))</f>
        <v>3</v>
      </c>
      <c r="L64" s="149">
        <f>+IF(ISBLANK(VLOOKUP(A64,'Info y Comunicación'!$B$19:$J$138,9,0)),"",VLOOKUP(A64,'Info y Comunicación'!$B$19:$J$138,9,0))</f>
        <v>3</v>
      </c>
      <c r="M64" s="149">
        <f t="shared" si="4"/>
        <v>1</v>
      </c>
      <c r="N64" s="149">
        <f t="shared" si="3"/>
        <v>1</v>
      </c>
      <c r="O64" s="149"/>
      <c r="P64" s="149"/>
    </row>
    <row r="65" spans="1:16" x14ac:dyDescent="0.2">
      <c r="A65" s="149" t="s">
        <v>473</v>
      </c>
      <c r="B65" s="149" t="str">
        <f t="shared" si="6"/>
        <v>15</v>
      </c>
      <c r="C65" s="149" t="str">
        <f>+MID(VLOOKUP(A65,'Info y Comunicación'!$B$13:$C$160,2,0),6,LEN(VLOOKUP(A65,'Info y Comunicación'!$B$13:$C$160,2,0))-6)</f>
        <v>La entidad cuenta con procesos o procedimiento para el manejo de la información entrante (quién la recibe, quién la clasifica, quién la analiza), y a la respuesta requierida (quién la canaliza y la responde)</v>
      </c>
      <c r="D65" s="149" t="s">
        <v>460</v>
      </c>
      <c r="E65" s="149" t="str">
        <f>+VLOOKUP(A65,'Info y Comunicación'!$B$15:$K$138,3,0)</f>
        <v xml:space="preserve">Dimension de Informacion y Comunicación
Politica de Gestion Documental
Politica de Transparencia, acceso a la información pública y lucha
contra la corrupción </v>
      </c>
      <c r="F65" s="149" t="str">
        <f>+VLOOKUP(A65,'Info y Comunicación'!$B$15:$K$138,10,0)</f>
        <v>Mantenimiento del control</v>
      </c>
      <c r="G65" s="149">
        <f>+VLOOKUP(A65,'Info y Comunicación'!$B$13:$N$160,13,0)</f>
        <v>305.4563</v>
      </c>
      <c r="H65" s="151">
        <f t="shared" si="2"/>
        <v>64</v>
      </c>
      <c r="I65" s="149" t="str">
        <f t="shared" si="5"/>
        <v>Cuando en el análisis de los requerimientos en los diferenes componentes del MECI se cuente con aspectos evaluados en nivel 1 (presente) y 1 (funcionando); 2 (presente) y 1 (funcionando).</v>
      </c>
      <c r="J65" s="149" t="s">
        <v>471</v>
      </c>
      <c r="K65" s="149">
        <f>+IF(ISBLANK(VLOOKUP(A65,'Info y Comunicación'!$B$19:$F$138,5,0)),"",VLOOKUP(A65,'Info y Comunicación'!$B$19:$F$138,5,0))</f>
        <v>3</v>
      </c>
      <c r="L65" s="149">
        <f>+IF(ISBLANK(VLOOKUP(A65,'Info y Comunicación'!$B$19:$J$138,9,0)),"",VLOOKUP(A65,'Info y Comunicación'!$B$19:$J$138,9,0))</f>
        <v>3</v>
      </c>
      <c r="M65" s="149">
        <f t="shared" si="4"/>
        <v>1</v>
      </c>
      <c r="N65" s="149">
        <f t="shared" si="3"/>
        <v>1</v>
      </c>
      <c r="O65" s="149"/>
      <c r="P65" s="149"/>
    </row>
    <row r="66" spans="1:16" x14ac:dyDescent="0.2">
      <c r="A66" s="149" t="s">
        <v>474</v>
      </c>
      <c r="B66" s="149" t="str">
        <f t="shared" si="6"/>
        <v>15</v>
      </c>
      <c r="C66" s="149" t="str">
        <f>+MID(VLOOKUP(A66,'Info y Comunicación'!$B$13:$C$160,2,0),6,LEN(VLOOKUP(A66,'Info y Comunicación'!$B$13:$C$160,2,0))-6)</f>
        <v>La entidad cuenta con procesos o procedimientos encaminados a evaluar periodicamente la efectividad de los canales de comunicación con partes externas, así como sus contenidos, de tal forma que se puedan mejorar.</v>
      </c>
      <c r="D66" s="149" t="s">
        <v>460</v>
      </c>
      <c r="E66" s="149" t="str">
        <f>+VLOOKUP(A66,'Info y Comunicación'!$B$15:$K$138,3,0)</f>
        <v>Dimension de Informacion y Comunicación
Politica deControl Interno
Lineas de Defensa</v>
      </c>
      <c r="F66" s="149" t="str">
        <f>+VLOOKUP(A66,'Info y Comunicación'!$B$15:$K$138,10,0)</f>
        <v>Mantenimiento del control</v>
      </c>
      <c r="G66" s="149">
        <f>+VLOOKUP(A66,'Info y Comunicación'!$B$13:$N$160,13,0)</f>
        <v>305.56319999999999</v>
      </c>
      <c r="H66" s="151">
        <f t="shared" si="2"/>
        <v>65</v>
      </c>
      <c r="I66" s="149" t="str">
        <f t="shared" ref="I66:I82" si="7">+IF(F66=$F$2,$P$4,IF(F66=$F$3,$P$2,$P$3))</f>
        <v>Cuando en el análisis de los requerimientos en los diferenes componentes del MECI se cuente con aspectos evaluados en nivel 1 (presente) y 1 (funcionando); 2 (presente) y 1 (funcionando).</v>
      </c>
      <c r="J66" s="149" t="s">
        <v>471</v>
      </c>
      <c r="K66" s="149">
        <f>+IF(ISBLANK(VLOOKUP(A66,'Info y Comunicación'!$B$19:$F$138,5,0)),"",VLOOKUP(A66,'Info y Comunicación'!$B$19:$F$138,5,0))</f>
        <v>3</v>
      </c>
      <c r="L66" s="149">
        <f>+IF(ISBLANK(VLOOKUP(A66,'Info y Comunicación'!$B$19:$J$138,9,0)),"",VLOOKUP(A66,'Info y Comunicación'!$B$19:$J$138,9,0))</f>
        <v>3</v>
      </c>
      <c r="M66" s="149">
        <f t="shared" si="4"/>
        <v>1</v>
      </c>
      <c r="N66" s="149">
        <f t="shared" si="3"/>
        <v>1</v>
      </c>
      <c r="O66" s="149"/>
      <c r="P66" s="149"/>
    </row>
    <row r="67" spans="1:16" x14ac:dyDescent="0.2">
      <c r="A67" s="149" t="s">
        <v>475</v>
      </c>
      <c r="B67" s="149" t="str">
        <f t="shared" si="6"/>
        <v>15</v>
      </c>
      <c r="C67" s="149" t="str">
        <f>+MID(VLOOKUP(A67,'Info y Comunicación'!$B$13:$C$160,2,0),6,LEN(VLOOKUP(A67,'Info y Comunicación'!$B$13:$C$160,2,0))-6)</f>
        <v>La entidad analiza periodicamente su caracterización de usuarios o grupos de valor, a fin de actualizarla cuando sea pertinente</v>
      </c>
      <c r="D67" s="149" t="s">
        <v>460</v>
      </c>
      <c r="E67" s="149" t="str">
        <f>+VLOOKUP(A67,'Info y Comunicación'!$B$15:$K$138,3,0)</f>
        <v>Dimension de Direccionamiento Estrategico y Planeaciòn
Politica de Planeacion Institucional</v>
      </c>
      <c r="F67" s="149" t="str">
        <f>+VLOOKUP(A67,'Info y Comunicación'!$B$15:$K$138,10,0)</f>
        <v>Mantenimiento del control</v>
      </c>
      <c r="G67" s="149">
        <f>+VLOOKUP(A67,'Info y Comunicación'!$B$13:$N$160,13,0)</f>
        <v>305.63209999999998</v>
      </c>
      <c r="H67" s="151">
        <f t="shared" si="2"/>
        <v>66</v>
      </c>
      <c r="I67" s="149" t="str">
        <f t="shared" si="7"/>
        <v>Cuando en el análisis de los requerimientos en los diferenes componentes del MECI se cuente con aspectos evaluados en nivel 1 (presente) y 1 (funcionando); 2 (presente) y 1 (funcionando).</v>
      </c>
      <c r="J67" s="149" t="s">
        <v>471</v>
      </c>
      <c r="K67" s="149">
        <f>+IF(ISBLANK(VLOOKUP(A67,'Info y Comunicación'!$B$19:$F$138,5,0)),"",VLOOKUP(A67,'Info y Comunicación'!$B$19:$F$138,5,0))</f>
        <v>3</v>
      </c>
      <c r="L67" s="149">
        <f>+IF(ISBLANK(VLOOKUP(A67,'Info y Comunicación'!$B$19:$J$138,9,0)),"",VLOOKUP(A67,'Info y Comunicación'!$B$19:$J$138,9,0))</f>
        <v>3</v>
      </c>
      <c r="M67" s="149">
        <f t="shared" si="4"/>
        <v>1</v>
      </c>
      <c r="N67" s="149">
        <f t="shared" si="3"/>
        <v>1</v>
      </c>
      <c r="O67" s="149"/>
      <c r="P67" s="149"/>
    </row>
    <row r="68" spans="1:16" x14ac:dyDescent="0.2">
      <c r="A68" s="149" t="s">
        <v>476</v>
      </c>
      <c r="B68" s="149" t="str">
        <f t="shared" si="6"/>
        <v>15</v>
      </c>
      <c r="C68" s="149" t="str">
        <f>+MID(VLOOKUP(A68,'Info y Comunicación'!$B$13:$C$160,2,0),6,LEN(VLOOKUP(A68,'Info y Comunicación'!$B$13:$C$160,2,0))-6)</f>
        <v>La entidad analiza periodicamente los resultados frente a la evaluación de percepción por parte de los usuarios o grupos de valor para la incorporación de las mejoras correspondientes</v>
      </c>
      <c r="D68" s="149" t="s">
        <v>460</v>
      </c>
      <c r="E68" s="149" t="str">
        <f>+VLOOKUP(A68,'Info y Comunicación'!$B$15:$K$138,3,0)</f>
        <v>Dimension de Direccionamiento Estrategico y Planeaciòn
Politica de Planeacion Institucional</v>
      </c>
      <c r="F68" s="149" t="str">
        <f>+VLOOKUP(A68,'Info y Comunicación'!$B$15:$K$138,10,0)</f>
        <v>Mantenimiento del control</v>
      </c>
      <c r="G68" s="149">
        <f>+VLOOKUP(A68,'Info y Comunicación'!$B$13:$N$160,13,0)</f>
        <v>305.78960000000001</v>
      </c>
      <c r="H68" s="151">
        <f t="shared" si="2"/>
        <v>67</v>
      </c>
      <c r="I68" s="149" t="str">
        <f t="shared" si="7"/>
        <v>Cuando en el análisis de los requerimientos en los diferenes componentes del MECI se cuente con aspectos evaluados en nivel 1 (presente) y 1 (funcionando); 2 (presente) y 1 (funcionando).</v>
      </c>
      <c r="J68" s="149" t="s">
        <v>471</v>
      </c>
      <c r="K68" s="149">
        <f>+IF(ISBLANK(VLOOKUP(A68,'Info y Comunicación'!$B$19:$F$138,5,0)),"",VLOOKUP(A68,'Info y Comunicación'!$B$19:$F$138,5,0))</f>
        <v>3</v>
      </c>
      <c r="L68" s="149">
        <f>+IF(ISBLANK(VLOOKUP(A68,'Info y Comunicación'!$B$19:$J$138,9,0)),"",VLOOKUP(A68,'Info y Comunicación'!$B$19:$J$138,9,0))</f>
        <v>3</v>
      </c>
      <c r="M68" s="149">
        <f t="shared" ref="M68:M82" si="8">+IF(OR(AND(K68=1,L68=1),AND(ISBLANK(K68),ISBLANK(L68)),K68="",L68=""),0,IF(OR(AND(K68=1,L68=2),AND(K68=1,L68=3)),0.25,IF(OR(AND(K68=2,L68=2),AND(K68=3,L68=1),AND(K68=3,L68=2),AND(K68=2,L68=1)),0.5,IF(AND(K68=2,L68=3),0.75,1))))</f>
        <v>1</v>
      </c>
      <c r="N68" s="149">
        <f t="shared" si="3"/>
        <v>1</v>
      </c>
      <c r="O68" s="149"/>
      <c r="P68" s="149"/>
    </row>
    <row r="69" spans="1:16" x14ac:dyDescent="0.2">
      <c r="A69" s="149" t="s">
        <v>477</v>
      </c>
      <c r="B69" s="149" t="str">
        <f t="shared" si="6"/>
        <v>16</v>
      </c>
      <c r="C69" s="149" t="str">
        <f>+MID(VLOOKUP(A69,'Actividades de Monitoreo'!$B$13:$C$176,2,0),6,LEN(VLOOKUP(A69,'Actividades de Monitoreo'!$B$13:$C$176,2,0))-6)</f>
        <v>El comité Institucional de Coordinación de Control Interno aprueba anualmente el Plan Anual de Auditoría presentado por parte del Jefe de Control Interno o quien haga sus veces y hace el correspondiente seguimiento a sus ejecución</v>
      </c>
      <c r="D69" s="149" t="s">
        <v>478</v>
      </c>
      <c r="E69" s="149" t="str">
        <f>+VLOOKUP(A69,'Actividades de Monitoreo'!$B$17:$K$134,3,0)</f>
        <v>Dimension de Control Interno
Lineas Estrategica</v>
      </c>
      <c r="F69" s="149" t="str">
        <f>+VLOOKUP(A69,'Actividades de Monitoreo'!$B$17:$K$134,10,0)</f>
        <v>Mantenimiento del control</v>
      </c>
      <c r="G69" s="149">
        <f>+VLOOKUP(A69,'Actividades de Monitoreo'!$B$13:$N$176,13,0)</f>
        <v>385.87450000000001</v>
      </c>
      <c r="H69" s="151">
        <f t="shared" si="2"/>
        <v>69</v>
      </c>
      <c r="I69" s="149" t="str">
        <f t="shared" si="7"/>
        <v>Cuando en el análisis de los requerimientos en los diferenes componentes del MECI se cuente con aspectos evaluados en nivel 1 (presente) y 1 (funcionando); 2 (presente) y 1 (funcionando).</v>
      </c>
      <c r="J69" s="149" t="s">
        <v>479</v>
      </c>
      <c r="K69" s="149">
        <f>+IF(ISBLANK(VLOOKUP(A69,'Actividades de Monitoreo'!$B$20:$F$134,5,0)),"",VLOOKUP(A69,'Actividades de Monitoreo'!$B$20:$F$134,5,0))</f>
        <v>3</v>
      </c>
      <c r="L69" s="149">
        <f>+IF(ISBLANK(VLOOKUP(A69,'Actividades de Monitoreo'!$B$20:$J$134,9,0)),"",VLOOKUP(A69,'Actividades de Monitoreo'!$B$20:$J$134,9,0))</f>
        <v>3</v>
      </c>
      <c r="M69" s="149">
        <f t="shared" si="8"/>
        <v>1</v>
      </c>
      <c r="N69" s="149">
        <f t="shared" si="3"/>
        <v>0.9821428571428571</v>
      </c>
      <c r="O69" s="149"/>
      <c r="P69" s="149"/>
    </row>
    <row r="70" spans="1:16" x14ac:dyDescent="0.2">
      <c r="A70" s="149" t="s">
        <v>480</v>
      </c>
      <c r="B70" s="149" t="str">
        <f t="shared" si="6"/>
        <v>16</v>
      </c>
      <c r="C70" s="149" t="str">
        <f>+MID(VLOOKUP(A70,'Actividades de Monitoreo'!$B$13:$C$176,2,0),6,LEN(VLOOKUP(A70,'Actividades de Monitoreo'!$B$13:$C$176,2,0))-6)</f>
        <v xml:space="preserve"> La Alta Dirección periódicamente evalúa los resultados de las evaluaciones (contínuas e independientes)  para concluir acerca de la efectividad del Sistema de Control Intern</v>
      </c>
      <c r="D70" s="149" t="s">
        <v>478</v>
      </c>
      <c r="E70" s="149" t="str">
        <f>+VLOOKUP(A70,'Actividades de Monitoreo'!$B$17:$K$134,3,0)</f>
        <v>Dimension de Control Interno
Lineas Estrategica</v>
      </c>
      <c r="F70" s="149" t="str">
        <f>+VLOOKUP(A70,'Actividades de Monitoreo'!$B$17:$K$134,10,0)</f>
        <v>Mantenimiento del control</v>
      </c>
      <c r="G70" s="149">
        <f>+VLOOKUP(A70,'Actividades de Monitoreo'!$B$13:$N$176,13,0)</f>
        <v>385.96539999999999</v>
      </c>
      <c r="H70" s="151">
        <f t="shared" si="2"/>
        <v>70</v>
      </c>
      <c r="I70" s="149" t="str">
        <f t="shared" si="7"/>
        <v>Cuando en el análisis de los requerimientos en los diferenes componentes del MECI se cuente con aspectos evaluados en nivel 1 (presente) y 1 (funcionando); 2 (presente) y 1 (funcionando).</v>
      </c>
      <c r="J70" s="149" t="s">
        <v>479</v>
      </c>
      <c r="K70" s="149">
        <f>+IF(ISBLANK(VLOOKUP(A70,'Actividades de Monitoreo'!$B$20:$F$134,5,0)),"",VLOOKUP(A70,'Actividades de Monitoreo'!$B$20:$F$134,5,0))</f>
        <v>3</v>
      </c>
      <c r="L70" s="149">
        <f>+IF(ISBLANK(VLOOKUP(A70,'Actividades de Monitoreo'!$B$20:$J$134,9,0)),"",VLOOKUP(A70,'Actividades de Monitoreo'!$B$20:$J$134,9,0))</f>
        <v>3</v>
      </c>
      <c r="M70" s="149">
        <f t="shared" si="8"/>
        <v>1</v>
      </c>
      <c r="N70" s="149">
        <f t="shared" si="3"/>
        <v>0.9821428571428571</v>
      </c>
      <c r="O70" s="149"/>
      <c r="P70" s="149"/>
    </row>
    <row r="71" spans="1:16" x14ac:dyDescent="0.2">
      <c r="A71" s="149" t="s">
        <v>481</v>
      </c>
      <c r="B71" s="149" t="str">
        <f t="shared" si="6"/>
        <v>16</v>
      </c>
      <c r="C71" s="149" t="str">
        <f>+MID(VLOOKUP(A71,'Actividades de Monitoreo'!$B$13:$C$176,2,0),6,LEN(VLOOKUP(A71,'Actividades de Monitoreo'!$B$13:$C$176,2,0))-6)</f>
        <v xml:space="preserve">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v>
      </c>
      <c r="D71" s="149" t="s">
        <v>478</v>
      </c>
      <c r="E71" s="149" t="str">
        <f>+VLOOKUP(A71,'Actividades de Monitoreo'!$B$17:$K$134,3,0)</f>
        <v>Dimension de Control Interno
Tercera Linea de Defensa</v>
      </c>
      <c r="F71" s="149" t="str">
        <f>+VLOOKUP(A71,'Actividades de Monitoreo'!$B$17:$K$134,10,0)</f>
        <v>Mantenimiento del control</v>
      </c>
      <c r="G71" s="149">
        <f>+VLOOKUP(A71,'Actividades de Monitoreo'!$B$13:$N$176,13,0)</f>
        <v>386.01229999999998</v>
      </c>
      <c r="H71" s="151">
        <f t="shared" ref="H71:H82" si="9">+_xlfn.RANK.EQ(G71,$G$2:$G$82,1)</f>
        <v>71</v>
      </c>
      <c r="I71" s="149" t="str">
        <f t="shared" si="7"/>
        <v>Cuando en el análisis de los requerimientos en los diferenes componentes del MECI se cuente con aspectos evaluados en nivel 1 (presente) y 1 (funcionando); 2 (presente) y 1 (funcionando).</v>
      </c>
      <c r="J71" s="149" t="s">
        <v>479</v>
      </c>
      <c r="K71" s="149">
        <f>+IF(ISBLANK(VLOOKUP(A71,'Actividades de Monitoreo'!$B$20:$F$134,5,0)),"",VLOOKUP(A71,'Actividades de Monitoreo'!$B$20:$F$134,5,0))</f>
        <v>3</v>
      </c>
      <c r="L71" s="149">
        <f>+IF(ISBLANK(VLOOKUP(A71,'Actividades de Monitoreo'!$B$20:$J$134,9,0)),"",VLOOKUP(A71,'Actividades de Monitoreo'!$B$20:$J$134,9,0))</f>
        <v>3</v>
      </c>
      <c r="M71" s="149">
        <f t="shared" si="8"/>
        <v>1</v>
      </c>
      <c r="N71" s="149">
        <f t="shared" ref="N71:N82" si="10">+AVERAGEIF($D$2:$D$82,D71,$M$2:$M$82)</f>
        <v>0.9821428571428571</v>
      </c>
      <c r="O71" s="149"/>
      <c r="P71" s="149"/>
    </row>
    <row r="72" spans="1:16" x14ac:dyDescent="0.2">
      <c r="A72" s="149" t="s">
        <v>482</v>
      </c>
      <c r="B72" s="149" t="str">
        <f t="shared" si="6"/>
        <v>16</v>
      </c>
      <c r="C72" s="149" t="str">
        <f>+MID(VLOOKUP(A72,'Actividades de Monitoreo'!$B$13:$C$176,2,0),6,LEN(VLOOKUP(A72,'Actividades de Monitoreo'!$B$13:$C$176,2,0))-6)</f>
        <v>Acorde con el Esquema de Líneas de Defensa se han implementado procedimientos de monitoreo continuo como parte de las actividades de la 2a línea de defensa, a fin de contar con información clave para la toma de decisiones</v>
      </c>
      <c r="D72" s="149" t="s">
        <v>478</v>
      </c>
      <c r="E72" s="149" t="str">
        <f>+VLOOKUP(A72,'Actividades de Monitoreo'!$B$17:$K$134,3,0)</f>
        <v>Dimension de Control Interno
Segunda Linea de Defensa</v>
      </c>
      <c r="F72" s="149" t="str">
        <f>+VLOOKUP(A72,'Actividades de Monitoreo'!$B$17:$K$134,10,0)</f>
        <v>Mantenimiento del control</v>
      </c>
      <c r="G72" s="149">
        <f>+VLOOKUP(A72,'Actividades de Monitoreo'!$B$13:$N$176,13,0)</f>
        <v>386.12360000000001</v>
      </c>
      <c r="H72" s="151">
        <f t="shared" si="9"/>
        <v>72</v>
      </c>
      <c r="I72" s="149" t="str">
        <f t="shared" si="7"/>
        <v>Cuando en el análisis de los requerimientos en los diferenes componentes del MECI se cuente con aspectos evaluados en nivel 1 (presente) y 1 (funcionando); 2 (presente) y 1 (funcionando).</v>
      </c>
      <c r="J72" s="149" t="s">
        <v>479</v>
      </c>
      <c r="K72" s="149">
        <f>+IF(ISBLANK(VLOOKUP(A72,'Actividades de Monitoreo'!$B$20:$F$134,5,0)),"",VLOOKUP(A72,'Actividades de Monitoreo'!$B$20:$F$134,5,0))</f>
        <v>3</v>
      </c>
      <c r="L72" s="149">
        <f>+IF(ISBLANK(VLOOKUP(A72,'Actividades de Monitoreo'!$B$20:$J$134,9,0)),"",VLOOKUP(A72,'Actividades de Monitoreo'!$B$20:$J$134,9,0))</f>
        <v>3</v>
      </c>
      <c r="M72" s="149">
        <f t="shared" si="8"/>
        <v>1</v>
      </c>
      <c r="N72" s="149">
        <f t="shared" si="10"/>
        <v>0.9821428571428571</v>
      </c>
      <c r="O72" s="149"/>
      <c r="P72" s="149"/>
    </row>
    <row r="73" spans="1:16" x14ac:dyDescent="0.2">
      <c r="A73" s="149" t="s">
        <v>483</v>
      </c>
      <c r="B73" s="149" t="str">
        <f t="shared" si="6"/>
        <v>16</v>
      </c>
      <c r="C73" s="149" t="str">
        <f>+MID(VLOOKUP(A73,'Actividades de Monitoreo'!$B$13:$C$176,2,0),6,LEN(VLOOKUP(A73,'Actividades de Monitoreo'!$B$13:$C$176,2,0))-6)</f>
        <v>Frente a las evaluaciones independientes la entidad considera evaluaciones externas de organismos de control, de vigilancia, certificadores, ONG´s u otros que permitan tener una mirada independiente de las operaciones</v>
      </c>
      <c r="D73" s="149" t="s">
        <v>478</v>
      </c>
      <c r="E73" s="149" t="str">
        <f>+VLOOKUP(A73,'Actividades de Monitoreo'!$B$17:$K$134,3,0)</f>
        <v>Dimension de Control Interno
Lineas de Defensa</v>
      </c>
      <c r="F73" s="149" t="str">
        <f>+VLOOKUP(A73,'Actividades de Monitoreo'!$B$17:$K$134,10,0)</f>
        <v>Mantenimiento del control</v>
      </c>
      <c r="G73" s="149">
        <f>+VLOOKUP(A73,'Actividades de Monitoreo'!$B$13:$N$176,13,0)</f>
        <v>386.21359999999999</v>
      </c>
      <c r="H73" s="151">
        <f t="shared" si="9"/>
        <v>73</v>
      </c>
      <c r="I73" s="149" t="str">
        <f t="shared" si="7"/>
        <v>Cuando en el análisis de los requerimientos en los diferenes componentes del MECI se cuente con aspectos evaluados en nivel 1 (presente) y 1 (funcionando); 2 (presente) y 1 (funcionando).</v>
      </c>
      <c r="J73" s="149" t="s">
        <v>479</v>
      </c>
      <c r="K73" s="149">
        <f>+IF(ISBLANK(VLOOKUP(A73,'Actividades de Monitoreo'!$B$20:$F$134,5,0)),"",VLOOKUP(A73,'Actividades de Monitoreo'!$B$20:$F$134,5,0))</f>
        <v>3</v>
      </c>
      <c r="L73" s="149">
        <f>+IF(ISBLANK(VLOOKUP(A73,'Actividades de Monitoreo'!$B$20:$J$134,9,0)),"",VLOOKUP(A73,'Actividades de Monitoreo'!$B$20:$J$134,9,0))</f>
        <v>3</v>
      </c>
      <c r="M73" s="149">
        <f t="shared" si="8"/>
        <v>1</v>
      </c>
      <c r="N73" s="149">
        <f t="shared" si="10"/>
        <v>0.9821428571428571</v>
      </c>
      <c r="O73" s="149"/>
      <c r="P73" s="149"/>
    </row>
    <row r="74" spans="1:16" x14ac:dyDescent="0.2">
      <c r="A74" s="149" t="s">
        <v>484</v>
      </c>
      <c r="B74" s="149" t="str">
        <f t="shared" si="6"/>
        <v>17</v>
      </c>
      <c r="C74" s="149" t="str">
        <f>+MID(VLOOKUP(A74,'Actividades de Monitoreo'!$B$13:$C$176,2,0),6,LEN(VLOOKUP(A74,'Actividades de Monitoreo'!$B$13:$C$176,2,0))-6)</f>
        <v>A partir de la información de las evaluaciones independientes, se evalúan para determinar su efecto en el Sistema de Control Interno de la entidad y su impacto en el logro de los objetivos, a fin de determinar cursos de acción para su mejora</v>
      </c>
      <c r="D74" s="149" t="s">
        <v>478</v>
      </c>
      <c r="E74" s="149" t="str">
        <f>+VLOOKUP(A74,'Actividades de Monitoreo'!$B$17:$K$134,3,0)</f>
        <v>Dimension de Control Interno
Lineas de Defensa</v>
      </c>
      <c r="F74" s="149" t="str">
        <f>+VLOOKUP(A74,'Actividades de Monitoreo'!$B$17:$K$134,10,0)</f>
        <v>Mantenimiento del control</v>
      </c>
      <c r="G74" s="149">
        <f>+VLOOKUP(A74,'Actividades de Monitoreo'!$B$13:$N$176,13,0)</f>
        <v>386.32580000000002</v>
      </c>
      <c r="H74" s="151">
        <f t="shared" si="9"/>
        <v>74</v>
      </c>
      <c r="I74" s="149" t="str">
        <f t="shared" si="7"/>
        <v>Cuando en el análisis de los requerimientos en los diferenes componentes del MECI se cuente con aspectos evaluados en nivel 1 (presente) y 1 (funcionando); 2 (presente) y 1 (funcionando).</v>
      </c>
      <c r="J74" s="149" t="s">
        <v>485</v>
      </c>
      <c r="K74" s="149">
        <f>+IF(ISBLANK(VLOOKUP(A74,'Actividades de Monitoreo'!$B$20:$F$134,5,0)),"",VLOOKUP(A74,'Actividades de Monitoreo'!$B$20:$F$134,5,0))</f>
        <v>3</v>
      </c>
      <c r="L74" s="149">
        <f>+IF(ISBLANK(VLOOKUP(A74,'Actividades de Monitoreo'!$B$20:$J$134,9,0)),"",VLOOKUP(A74,'Actividades de Monitoreo'!$B$20:$J$134,9,0))</f>
        <v>3</v>
      </c>
      <c r="M74" s="149">
        <f t="shared" si="8"/>
        <v>1</v>
      </c>
      <c r="N74" s="149">
        <f t="shared" si="10"/>
        <v>0.9821428571428571</v>
      </c>
      <c r="O74" s="149"/>
      <c r="P74" s="149"/>
    </row>
    <row r="75" spans="1:16" x14ac:dyDescent="0.2">
      <c r="A75" s="149" t="s">
        <v>486</v>
      </c>
      <c r="B75" s="149" t="str">
        <f t="shared" si="6"/>
        <v>17</v>
      </c>
      <c r="C75" s="149" t="str">
        <f>+MID(VLOOKUP(A75,'Actividades de Monitoreo'!$B$13:$C$176,2,0),6,LEN(VLOOKUP(A75,'Actividades de Monitoreo'!$B$13:$C$176,2,0))-6)</f>
        <v>Los informes recibidos de entes externos (organismos de control, auditores externos, entidades de vigilancia entre otros) se consolidan y se concluye sobre el impacto en el Sistema de Control Interno, a fin de determinar los cursos de acción</v>
      </c>
      <c r="D75" s="149" t="s">
        <v>478</v>
      </c>
      <c r="E75" s="149" t="str">
        <f>+VLOOKUP(A75,'Actividades de Monitoreo'!$B$17:$K$134,3,0)</f>
        <v>Dimension de Control Interno
Lineas de Defensa</v>
      </c>
      <c r="F75" s="149" t="str">
        <f>+VLOOKUP(A75,'Actividades de Monitoreo'!$B$17:$K$134,10,0)</f>
        <v>Mantenimiento del control</v>
      </c>
      <c r="G75" s="149">
        <f>+VLOOKUP(A75,'Actividades de Monitoreo'!$B$13:$N$176,13,0)</f>
        <v>386.45690000000002</v>
      </c>
      <c r="H75" s="151">
        <f t="shared" si="9"/>
        <v>75</v>
      </c>
      <c r="I75" s="149" t="str">
        <f t="shared" si="7"/>
        <v>Cuando en el análisis de los requerimientos en los diferenes componentes del MECI se cuente con aspectos evaluados en nivel 1 (presente) y 1 (funcionando); 2 (presente) y 1 (funcionando).</v>
      </c>
      <c r="J75" s="149" t="s">
        <v>485</v>
      </c>
      <c r="K75" s="149">
        <f>+IF(ISBLANK(VLOOKUP(A75,'Actividades de Monitoreo'!$B$20:$F$134,5,0)),"",VLOOKUP(A75,'Actividades de Monitoreo'!$B$20:$F$134,5,0))</f>
        <v>3</v>
      </c>
      <c r="L75" s="149">
        <f>+IF(ISBLANK(VLOOKUP(A75,'Actividades de Monitoreo'!$B$20:$J$134,9,0)),"",VLOOKUP(A75,'Actividades de Monitoreo'!$B$20:$J$134,9,0))</f>
        <v>3</v>
      </c>
      <c r="M75" s="149">
        <f t="shared" si="8"/>
        <v>1</v>
      </c>
      <c r="N75" s="149">
        <f t="shared" si="10"/>
        <v>0.9821428571428571</v>
      </c>
      <c r="O75" s="149"/>
      <c r="P75" s="149"/>
    </row>
    <row r="76" spans="1:16" x14ac:dyDescent="0.2">
      <c r="A76" s="149" t="s">
        <v>487</v>
      </c>
      <c r="B76" s="149" t="str">
        <f t="shared" si="6"/>
        <v>17</v>
      </c>
      <c r="C76" s="149" t="str">
        <f>+MID(VLOOKUP(A76,'Actividades de Monitoreo'!$B$13:$C$176,2,0),6,LEN(VLOOKUP(A76,'Actividades de Monitoreo'!$B$13:$C$176,2,0))-6)</f>
        <v>La entidad cuenta con políticas donde se establezca a quién reportar las deficiencias de control interno como resultado del monitoreo continuo</v>
      </c>
      <c r="D76" s="149" t="s">
        <v>478</v>
      </c>
      <c r="E76" s="149" t="str">
        <f>+VLOOKUP(A76,'Actividades de Monitoreo'!$B$17:$K$134,3,0)</f>
        <v>Dimension de Control Interno
Lineas de Defensa</v>
      </c>
      <c r="F76" s="149" t="str">
        <f>+VLOOKUP(A76,'Actividades de Monitoreo'!$B$17:$K$134,10,0)</f>
        <v>Mantenimiento del control</v>
      </c>
      <c r="G76" s="149">
        <f>+VLOOKUP(A76,'Actividades de Monitoreo'!$B$13:$N$176,13,0)</f>
        <v>386.56319999999999</v>
      </c>
      <c r="H76" s="151">
        <f t="shared" si="9"/>
        <v>76</v>
      </c>
      <c r="I76" s="149" t="str">
        <f t="shared" si="7"/>
        <v>Cuando en el análisis de los requerimientos en los diferenes componentes del MECI se cuente con aspectos evaluados en nivel 1 (presente) y 1 (funcionando); 2 (presente) y 1 (funcionando).</v>
      </c>
      <c r="J76" s="149" t="s">
        <v>485</v>
      </c>
      <c r="K76" s="149">
        <f>+IF(ISBLANK(VLOOKUP(A76,'Actividades de Monitoreo'!$B$20:$F$134,5,0)),"",VLOOKUP(A76,'Actividades de Monitoreo'!$B$20:$F$134,5,0))</f>
        <v>3</v>
      </c>
      <c r="L76" s="149">
        <f>+IF(ISBLANK(VLOOKUP(A76,'Actividades de Monitoreo'!$B$20:$J$134,9,0)),"",VLOOKUP(A76,'Actividades de Monitoreo'!$B$20:$J$134,9,0))</f>
        <v>3</v>
      </c>
      <c r="M76" s="149">
        <f t="shared" si="8"/>
        <v>1</v>
      </c>
      <c r="N76" s="149">
        <f t="shared" si="10"/>
        <v>0.9821428571428571</v>
      </c>
      <c r="O76" s="149"/>
      <c r="P76" s="149"/>
    </row>
    <row r="77" spans="1:16" x14ac:dyDescent="0.2">
      <c r="A77" s="149" t="s">
        <v>488</v>
      </c>
      <c r="B77" s="149" t="str">
        <f t="shared" si="6"/>
        <v>17</v>
      </c>
      <c r="C77" s="149" t="str">
        <f>+MID(VLOOKUP(A77,'Actividades de Monitoreo'!$B$13:$C$176,2,0),6,LEN(VLOOKUP(A77,'Actividades de Monitoreo'!$B$13:$C$176,2,0))-6)</f>
        <v>La Alta Dirección hace seguimiento a las acciones correctivas relacionadas con las deficiencias comunicadas sobre el Sistema de Control Interno y si se han cumplido en el tiempo establecido</v>
      </c>
      <c r="D77" s="149" t="s">
        <v>478</v>
      </c>
      <c r="E77" s="149" t="str">
        <f>+VLOOKUP(A77,'Actividades de Monitoreo'!$B$17:$K$134,3,0)</f>
        <v>Dimension de Control Interno
Lineas de Defensa</v>
      </c>
      <c r="F77" s="149" t="str">
        <f>+VLOOKUP(A77,'Actividades de Monitoreo'!$B$17:$K$134,10,0)</f>
        <v>Oportunidad de mejora</v>
      </c>
      <c r="G77" s="149">
        <f>+VLOOKUP(A77,'Actividades de Monitoreo'!$B$13:$N$176,13,0)</f>
        <v>366.78539999999998</v>
      </c>
      <c r="H77" s="151">
        <f t="shared" si="9"/>
        <v>68</v>
      </c>
      <c r="I77" s="149" t="str">
        <f t="shared" si="7"/>
        <v>Cuando en el análisis de los requerimientos en los diferenes componentes del MECI se cuente con aspectos evaluados en nivel 2 (presente) y 2 (funcionando); 3 (presente) y 1 (funcionando); 3 (presente) y 2 (funcionando).</v>
      </c>
      <c r="J77" s="149" t="s">
        <v>485</v>
      </c>
      <c r="K77" s="149">
        <f>+IF(ISBLANK(VLOOKUP(A77,'Actividades de Monitoreo'!$B$20:$F$134,5,0)),"",VLOOKUP(A77,'Actividades de Monitoreo'!$B$20:$F$134,5,0))</f>
        <v>2</v>
      </c>
      <c r="L77" s="149">
        <f>+IF(ISBLANK(VLOOKUP(A77,'Actividades de Monitoreo'!$B$20:$J$134,9,0)),"",VLOOKUP(A77,'Actividades de Monitoreo'!$B$20:$J$134,9,0))</f>
        <v>3</v>
      </c>
      <c r="M77" s="149">
        <f t="shared" si="8"/>
        <v>0.75</v>
      </c>
      <c r="N77" s="149">
        <f t="shared" si="10"/>
        <v>0.9821428571428571</v>
      </c>
      <c r="O77" s="149"/>
      <c r="P77" s="149"/>
    </row>
    <row r="78" spans="1:16" x14ac:dyDescent="0.2">
      <c r="A78" s="149" t="s">
        <v>489</v>
      </c>
      <c r="B78" s="149" t="str">
        <f t="shared" si="6"/>
        <v>17</v>
      </c>
      <c r="C78" s="149" t="str">
        <f>+MID(VLOOKUP(A78,'Actividades de Monitoreo'!$B$13:$C$176,2,0),6,LEN(VLOOKUP(A78,'Actividades de Monitoreo'!$B$13:$C$176,2,0))-6)</f>
        <v>Los procesos y/o servicios tercerizados, son evaluados acorde con su nivel de riesgos</v>
      </c>
      <c r="D78" s="149" t="s">
        <v>478</v>
      </c>
      <c r="E78" s="149" t="str">
        <f>+VLOOKUP(A78,'Actividades de Monitoreo'!$B$17:$K$134,3,0)</f>
        <v>Dimension de Control Interno
Lineas de Defensa</v>
      </c>
      <c r="F78" s="149" t="str">
        <f>+VLOOKUP(A78,'Actividades de Monitoreo'!$B$17:$K$134,10,0)</f>
        <v>Mantenimiento del control</v>
      </c>
      <c r="G78" s="149">
        <f>+VLOOKUP(A78,'Actividades de Monitoreo'!$B$13:$N$176,13,0)</f>
        <v>386.87450000000001</v>
      </c>
      <c r="H78" s="151">
        <f t="shared" si="9"/>
        <v>77</v>
      </c>
      <c r="I78" s="149" t="str">
        <f t="shared" si="7"/>
        <v>Cuando en el análisis de los requerimientos en los diferenes componentes del MECI se cuente con aspectos evaluados en nivel 1 (presente) y 1 (funcionando); 2 (presente) y 1 (funcionando).</v>
      </c>
      <c r="J78" s="149" t="s">
        <v>485</v>
      </c>
      <c r="K78" s="149">
        <f>+IF(ISBLANK(VLOOKUP(A78,'Actividades de Monitoreo'!$B$20:$F$134,5,0)),"",VLOOKUP(A78,'Actividades de Monitoreo'!$B$20:$F$134,5,0))</f>
        <v>3</v>
      </c>
      <c r="L78" s="149">
        <f>+IF(ISBLANK(VLOOKUP(A78,'Actividades de Monitoreo'!$B$20:$J$134,9,0)),"",VLOOKUP(A78,'Actividades de Monitoreo'!$B$20:$J$134,9,0))</f>
        <v>3</v>
      </c>
      <c r="M78" s="149">
        <f t="shared" si="8"/>
        <v>1</v>
      </c>
      <c r="N78" s="149">
        <f t="shared" si="10"/>
        <v>0.9821428571428571</v>
      </c>
      <c r="O78" s="149"/>
      <c r="P78" s="149"/>
    </row>
    <row r="79" spans="1:16" x14ac:dyDescent="0.2">
      <c r="A79" s="149" t="s">
        <v>490</v>
      </c>
      <c r="B79" s="149" t="str">
        <f t="shared" si="6"/>
        <v>17</v>
      </c>
      <c r="C79" s="149" t="str">
        <f>+MID(VLOOKUP(A79,'Actividades de Monitoreo'!$B$13:$C$176,2,0),6,LEN(VLOOKUP(A79,'Actividades de Monitoreo'!$B$13:$C$176,2,0))-6)</f>
        <v>Se evalúa la información suministrada por los usuarios (Sistema PQRD), así como de otras partes interesadas para la mejora del  Sistema de Control Interno de la Entidad</v>
      </c>
      <c r="D79" s="149" t="s">
        <v>478</v>
      </c>
      <c r="E79" s="149" t="str">
        <f>+VLOOKUP(A79,'Actividades de Monitoreo'!$B$17:$K$134,3,0)</f>
        <v xml:space="preserve">
Dimension de Informacion y Comunicación 
Dimension de Control Interno
Lineas de Defensa</v>
      </c>
      <c r="F79" s="149" t="str">
        <f>+VLOOKUP(A79,'Actividades de Monitoreo'!$B$17:$K$134,10,0)</f>
        <v>Mantenimiento del control</v>
      </c>
      <c r="G79" s="149">
        <f>+VLOOKUP(A79,'Actividades de Monitoreo'!$B$13:$N$176,13,0)</f>
        <v>386.98739999999998</v>
      </c>
      <c r="H79" s="151">
        <f t="shared" si="9"/>
        <v>78</v>
      </c>
      <c r="I79" s="149" t="str">
        <f t="shared" si="7"/>
        <v>Cuando en el análisis de los requerimientos en los diferenes componentes del MECI se cuente con aspectos evaluados en nivel 1 (presente) y 1 (funcionando); 2 (presente) y 1 (funcionando).</v>
      </c>
      <c r="J79" s="149" t="s">
        <v>485</v>
      </c>
      <c r="K79" s="149">
        <f>+IF(ISBLANK(VLOOKUP(A79,'Actividades de Monitoreo'!$B$20:$F$134,5,0)),"",VLOOKUP(A79,'Actividades de Monitoreo'!$B$20:$F$134,5,0))</f>
        <v>3</v>
      </c>
      <c r="L79" s="149">
        <f>+IF(ISBLANK(VLOOKUP(A79,'Actividades de Monitoreo'!$B$20:$J$134,9,0)),"",VLOOKUP(A79,'Actividades de Monitoreo'!$B$20:$J$134,9,0))</f>
        <v>3</v>
      </c>
      <c r="M79" s="149">
        <f t="shared" si="8"/>
        <v>1</v>
      </c>
      <c r="N79" s="149">
        <f t="shared" si="10"/>
        <v>0.9821428571428571</v>
      </c>
      <c r="O79" s="149"/>
      <c r="P79" s="149"/>
    </row>
    <row r="80" spans="1:16" x14ac:dyDescent="0.2">
      <c r="A80" s="149" t="s">
        <v>491</v>
      </c>
      <c r="B80" s="149" t="str">
        <f t="shared" si="6"/>
        <v>17</v>
      </c>
      <c r="C80" s="149" t="str">
        <f>+MID(VLOOKUP(A80,'Actividades de Monitoreo'!$B$13:$C$176,2,0),6,LEN(VLOOKUP(A80,'Actividades de Monitoreo'!$B$13:$C$176,2,0))-6)</f>
        <v>Verificación del avance y cumplimiento de las acciones incluidas en los planes de mejoramiento producto de las autoevaluaciones. (2ª Línea).</v>
      </c>
      <c r="D80" s="149" t="s">
        <v>478</v>
      </c>
      <c r="E80" s="149" t="str">
        <f>+VLOOKUP(A80,'Actividades de Monitoreo'!$B$17:$K$134,3,0)</f>
        <v xml:space="preserve">
Dimension de Control Interno
Lineas de Defensa</v>
      </c>
      <c r="F80" s="149" t="str">
        <f>+VLOOKUP(A80,'Actividades de Monitoreo'!$B$17:$K$134,10,0)</f>
        <v>Mantenimiento del control</v>
      </c>
      <c r="G80" s="149">
        <f>+VLOOKUP(A80,'Actividades de Monitoreo'!$B$13:$N$176,13,0)</f>
        <v>386.98745000000002</v>
      </c>
      <c r="H80" s="151">
        <f t="shared" si="9"/>
        <v>79</v>
      </c>
      <c r="I80" s="149" t="str">
        <f t="shared" si="7"/>
        <v>Cuando en el análisis de los requerimientos en los diferenes componentes del MECI se cuente con aspectos evaluados en nivel 1 (presente) y 1 (funcionando); 2 (presente) y 1 (funcionando).</v>
      </c>
      <c r="J80" s="149" t="s">
        <v>485</v>
      </c>
      <c r="K80" s="149">
        <f>+IF(ISBLANK(VLOOKUP(A80,'Actividades de Monitoreo'!$B$20:$F$134,5,0)),"",VLOOKUP(A80,'Actividades de Monitoreo'!$B$20:$F$134,5,0))</f>
        <v>3</v>
      </c>
      <c r="L80" s="149">
        <f>+IF(ISBLANK(VLOOKUP(A80,'Actividades de Monitoreo'!$B$20:$J$134,9,0)),"",VLOOKUP(A80,'Actividades de Monitoreo'!$B$20:$J$134,9,0))</f>
        <v>3</v>
      </c>
      <c r="M80" s="149">
        <f t="shared" si="8"/>
        <v>1</v>
      </c>
      <c r="N80" s="149">
        <f t="shared" si="10"/>
        <v>0.9821428571428571</v>
      </c>
      <c r="O80" s="149"/>
      <c r="P80" s="149"/>
    </row>
    <row r="81" spans="1:16" x14ac:dyDescent="0.2">
      <c r="A81" s="149" t="s">
        <v>492</v>
      </c>
      <c r="B81" s="149" t="str">
        <f t="shared" si="6"/>
        <v>17</v>
      </c>
      <c r="C81" s="149" t="str">
        <f>+MID(VLOOKUP(A81,'Actividades de Monitoreo'!$B$13:$C$176,2,0),6,LEN(VLOOKUP(A81,'Actividades de Monitoreo'!$B$13:$C$176,2,0))-6)</f>
        <v>Evaluación de la efectividad de las acciones incluidas en los Planes de mejoramiento producto de las auditorías internas y de entes externos. (3ª Línea</v>
      </c>
      <c r="D81" s="149" t="s">
        <v>478</v>
      </c>
      <c r="E81" s="149" t="str">
        <f>+VLOOKUP(A81,'Actividades de Monitoreo'!$B$17:$K$134,3,0)</f>
        <v xml:space="preserve">
Dimension de Control Interno
Lineas de Defensa</v>
      </c>
      <c r="F81" s="149" t="str">
        <f>+VLOOKUP(A81,'Actividades de Monitoreo'!$B$17:$K$134,10,0)</f>
        <v>Mantenimiento del control</v>
      </c>
      <c r="G81" s="149">
        <f>+VLOOKUP(A81,'Actividades de Monitoreo'!$B$13:$N$176,13,0)</f>
        <v>386.98745600000001</v>
      </c>
      <c r="H81" s="151">
        <f t="shared" si="9"/>
        <v>80</v>
      </c>
      <c r="I81" s="149" t="str">
        <f t="shared" si="7"/>
        <v>Cuando en el análisis de los requerimientos en los diferenes componentes del MECI se cuente con aspectos evaluados en nivel 1 (presente) y 1 (funcionando); 2 (presente) y 1 (funcionando).</v>
      </c>
      <c r="J81" s="149" t="s">
        <v>485</v>
      </c>
      <c r="K81" s="149">
        <f>+IF(ISBLANK(VLOOKUP(A81,'Actividades de Monitoreo'!$B$20:$F$134,5,0)),"",VLOOKUP(A81,'Actividades de Monitoreo'!$B$20:$F$134,5,0))</f>
        <v>3</v>
      </c>
      <c r="L81" s="149">
        <f>+IF(ISBLANK(VLOOKUP(A81,'Actividades de Monitoreo'!$B$20:$J$134,9,0)),"",VLOOKUP(A81,'Actividades de Monitoreo'!$B$20:$J$134,9,0))</f>
        <v>3</v>
      </c>
      <c r="M81" s="149">
        <f t="shared" si="8"/>
        <v>1</v>
      </c>
      <c r="N81" s="149">
        <f t="shared" si="10"/>
        <v>0.9821428571428571</v>
      </c>
      <c r="O81" s="149"/>
      <c r="P81" s="149"/>
    </row>
    <row r="82" spans="1:16" x14ac:dyDescent="0.2">
      <c r="A82" s="149" t="s">
        <v>493</v>
      </c>
      <c r="B82" s="149" t="str">
        <f t="shared" si="6"/>
        <v>17</v>
      </c>
      <c r="C82" s="149" t="str">
        <f>+MID(VLOOKUP(A82,'Actividades de Monitoreo'!$B$13:$C$176,2,0),6,LEN(VLOOKUP(A82,'Actividades de Monitoreo'!$B$13:$C$176,2,0))-6)</f>
        <v>Las deficiencias de control interno son reportadas a los responsables de nivel jerárquico superior, para tomar la acciones correspondientes</v>
      </c>
      <c r="D82" s="149" t="s">
        <v>478</v>
      </c>
      <c r="E82" s="149" t="str">
        <f>+VLOOKUP(A82,'Actividades de Monitoreo'!$B$17:$K$134,3,0)</f>
        <v xml:space="preserve">
Dimension de Control Interno
Lineas de Defensa</v>
      </c>
      <c r="F82" s="149" t="str">
        <f>+VLOOKUP(A82,'Actividades de Monitoreo'!$B$17:$K$134,10,0)</f>
        <v>Mantenimiento del control</v>
      </c>
      <c r="G82" s="149">
        <f>+VLOOKUP(A82,'Actividades de Monitoreo'!$B$13:$N$176,13,0)</f>
        <v>387.01229999999998</v>
      </c>
      <c r="H82" s="151">
        <f t="shared" si="9"/>
        <v>81</v>
      </c>
      <c r="I82" s="149" t="str">
        <f t="shared" si="7"/>
        <v>Cuando en el análisis de los requerimientos en los diferenes componentes del MECI se cuente con aspectos evaluados en nivel 1 (presente) y 1 (funcionando); 2 (presente) y 1 (funcionando).</v>
      </c>
      <c r="J82" s="149" t="s">
        <v>485</v>
      </c>
      <c r="K82" s="149">
        <f>+IF(ISBLANK(VLOOKUP(A82,'Actividades de Monitoreo'!$B$20:$F$134,5,0)),"",VLOOKUP(A82,'Actividades de Monitoreo'!$B$20:$F$134,5,0))</f>
        <v>3</v>
      </c>
      <c r="L82" s="149">
        <f>+IF(ISBLANK(VLOOKUP(A82,'Actividades de Monitoreo'!$B$20:$J$134,9,0)),"",VLOOKUP(A82,'Actividades de Monitoreo'!$B$20:$J$134,9,0))</f>
        <v>3</v>
      </c>
      <c r="M82" s="149">
        <f t="shared" si="8"/>
        <v>1</v>
      </c>
      <c r="N82" s="149">
        <f t="shared" si="10"/>
        <v>0.9821428571428571</v>
      </c>
      <c r="O82" s="149"/>
      <c r="P82" s="149"/>
    </row>
  </sheetData>
  <sheetProtection password="D72A"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showGridLines="0" workbookViewId="0">
      <pane xSplit="1" ySplit="4" topLeftCell="B26" activePane="bottomRight" state="frozen"/>
      <selection pane="topRight" activeCell="B1" sqref="B1"/>
      <selection pane="bottomLeft" activeCell="A11" sqref="A11"/>
      <selection pane="bottomRight" activeCell="C9" sqref="C9"/>
    </sheetView>
  </sheetViews>
  <sheetFormatPr baseColWidth="10" defaultColWidth="11.42578125" defaultRowHeight="16.5" x14ac:dyDescent="0.3"/>
  <cols>
    <col min="1" max="1" width="3.5703125" style="19" customWidth="1"/>
    <col min="2" max="2" width="36.42578125" style="19" customWidth="1"/>
    <col min="3" max="3" width="67.140625" style="23" customWidth="1"/>
    <col min="4" max="16384" width="11.42578125" style="19"/>
  </cols>
  <sheetData>
    <row r="2" spans="2:12" x14ac:dyDescent="0.3">
      <c r="B2" s="298" t="s">
        <v>38</v>
      </c>
      <c r="C2" s="298"/>
      <c r="D2" s="18"/>
      <c r="E2" s="18"/>
      <c r="F2" s="18"/>
      <c r="G2" s="18"/>
      <c r="H2" s="18"/>
      <c r="I2" s="18"/>
      <c r="J2" s="18"/>
      <c r="K2" s="18"/>
      <c r="L2" s="18"/>
    </row>
    <row r="4" spans="2:12" x14ac:dyDescent="0.3">
      <c r="B4" s="24" t="s">
        <v>39</v>
      </c>
      <c r="C4" s="25" t="s">
        <v>5</v>
      </c>
    </row>
    <row r="5" spans="2:12" ht="66" x14ac:dyDescent="0.3">
      <c r="B5" s="88" t="s">
        <v>40</v>
      </c>
      <c r="C5" s="20" t="s">
        <v>41</v>
      </c>
    </row>
    <row r="6" spans="2:12" ht="46.5" customHeight="1" x14ac:dyDescent="0.3">
      <c r="B6" s="89" t="s">
        <v>42</v>
      </c>
      <c r="C6" s="21" t="s">
        <v>43</v>
      </c>
    </row>
    <row r="7" spans="2:12" ht="66" x14ac:dyDescent="0.3">
      <c r="B7" s="90" t="s">
        <v>44</v>
      </c>
      <c r="C7" s="22" t="s">
        <v>45</v>
      </c>
    </row>
    <row r="8" spans="2:12" ht="49.5" x14ac:dyDescent="0.3">
      <c r="B8" s="91" t="s">
        <v>46</v>
      </c>
      <c r="C8" s="22" t="s">
        <v>613</v>
      </c>
    </row>
    <row r="9" spans="2:12" ht="49.5" x14ac:dyDescent="0.3">
      <c r="B9" s="91" t="s">
        <v>47</v>
      </c>
      <c r="C9" s="22" t="s">
        <v>48</v>
      </c>
    </row>
    <row r="10" spans="2:12" x14ac:dyDescent="0.3">
      <c r="B10" s="90" t="s">
        <v>49</v>
      </c>
      <c r="C10" s="22" t="s">
        <v>50</v>
      </c>
    </row>
    <row r="11" spans="2:12" ht="132" x14ac:dyDescent="0.3">
      <c r="B11" s="90" t="s">
        <v>51</v>
      </c>
      <c r="C11" s="22" t="s">
        <v>52</v>
      </c>
    </row>
    <row r="12" spans="2:12" ht="66" x14ac:dyDescent="0.3">
      <c r="B12" s="90" t="s">
        <v>53</v>
      </c>
      <c r="C12" s="22" t="s">
        <v>54</v>
      </c>
    </row>
    <row r="13" spans="2:12" ht="49.5" x14ac:dyDescent="0.3">
      <c r="B13" s="90" t="s">
        <v>55</v>
      </c>
      <c r="C13" s="22" t="s">
        <v>56</v>
      </c>
    </row>
    <row r="14" spans="2:12" ht="49.5" x14ac:dyDescent="0.3">
      <c r="B14" s="91" t="s">
        <v>57</v>
      </c>
      <c r="C14" s="87" t="s">
        <v>58</v>
      </c>
    </row>
    <row r="15" spans="2:12" ht="33" x14ac:dyDescent="0.3">
      <c r="B15" s="91" t="s">
        <v>59</v>
      </c>
      <c r="C15" s="87" t="s">
        <v>60</v>
      </c>
    </row>
    <row r="16" spans="2:12" ht="66" x14ac:dyDescent="0.3">
      <c r="B16" s="91" t="s">
        <v>61</v>
      </c>
      <c r="C16" s="87" t="s">
        <v>62</v>
      </c>
    </row>
    <row r="17" spans="2:3" ht="33" x14ac:dyDescent="0.3">
      <c r="B17" s="91" t="s">
        <v>63</v>
      </c>
      <c r="C17" s="87" t="s">
        <v>64</v>
      </c>
    </row>
    <row r="18" spans="2:3" x14ac:dyDescent="0.3">
      <c r="B18" s="91" t="s">
        <v>65</v>
      </c>
      <c r="C18" s="87" t="s">
        <v>66</v>
      </c>
    </row>
    <row r="19" spans="2:3" ht="33" x14ac:dyDescent="0.3">
      <c r="B19" s="91" t="s">
        <v>67</v>
      </c>
      <c r="C19" s="87" t="s">
        <v>68</v>
      </c>
    </row>
    <row r="20" spans="2:3" ht="33" x14ac:dyDescent="0.3">
      <c r="B20" s="90" t="s">
        <v>69</v>
      </c>
      <c r="C20" s="22" t="s">
        <v>70</v>
      </c>
    </row>
    <row r="21" spans="2:3" ht="66" x14ac:dyDescent="0.3">
      <c r="B21" s="90" t="s">
        <v>71</v>
      </c>
      <c r="C21" s="22" t="s">
        <v>72</v>
      </c>
    </row>
    <row r="22" spans="2:3" ht="82.5" x14ac:dyDescent="0.3">
      <c r="B22" s="90" t="s">
        <v>73</v>
      </c>
      <c r="C22" s="22" t="s">
        <v>74</v>
      </c>
    </row>
    <row r="23" spans="2:3" ht="66" x14ac:dyDescent="0.3">
      <c r="B23" s="90" t="s">
        <v>75</v>
      </c>
      <c r="C23" s="22" t="s">
        <v>76</v>
      </c>
    </row>
    <row r="24" spans="2:3" ht="99" x14ac:dyDescent="0.3">
      <c r="B24" s="90" t="s">
        <v>77</v>
      </c>
      <c r="C24" s="22" t="s">
        <v>78</v>
      </c>
    </row>
    <row r="25" spans="2:3" ht="33" x14ac:dyDescent="0.3">
      <c r="B25" s="90" t="s">
        <v>79</v>
      </c>
      <c r="C25" s="22" t="s">
        <v>80</v>
      </c>
    </row>
    <row r="26" spans="2:3" ht="33" x14ac:dyDescent="0.3">
      <c r="B26" s="91" t="s">
        <v>81</v>
      </c>
      <c r="C26" s="87" t="s">
        <v>82</v>
      </c>
    </row>
    <row r="27" spans="2:3" ht="33" x14ac:dyDescent="0.3">
      <c r="B27" s="91" t="s">
        <v>83</v>
      </c>
      <c r="C27" s="87" t="s">
        <v>84</v>
      </c>
    </row>
    <row r="28" spans="2:3" ht="49.5" x14ac:dyDescent="0.3">
      <c r="B28" s="91" t="s">
        <v>27</v>
      </c>
      <c r="C28" s="87" t="s">
        <v>85</v>
      </c>
    </row>
    <row r="29" spans="2:3" ht="33" x14ac:dyDescent="0.3">
      <c r="B29" s="90" t="s">
        <v>86</v>
      </c>
      <c r="C29" s="22" t="s">
        <v>87</v>
      </c>
    </row>
    <row r="30" spans="2:3" ht="33" x14ac:dyDescent="0.3">
      <c r="B30" s="90" t="s">
        <v>88</v>
      </c>
      <c r="C30" s="22" t="s">
        <v>89</v>
      </c>
    </row>
    <row r="31" spans="2:3" ht="33" x14ac:dyDescent="0.3">
      <c r="B31" s="90" t="s">
        <v>90</v>
      </c>
      <c r="C31" s="22" t="s">
        <v>91</v>
      </c>
    </row>
    <row r="32" spans="2:3" ht="49.5" x14ac:dyDescent="0.3">
      <c r="B32" s="90" t="s">
        <v>92</v>
      </c>
      <c r="C32" s="22" t="s">
        <v>93</v>
      </c>
    </row>
    <row r="33" spans="2:3" ht="33" x14ac:dyDescent="0.3">
      <c r="B33" s="90" t="s">
        <v>94</v>
      </c>
      <c r="C33" s="22" t="s">
        <v>95</v>
      </c>
    </row>
    <row r="34" spans="2:3" ht="33" x14ac:dyDescent="0.3">
      <c r="B34" s="90" t="s">
        <v>96</v>
      </c>
      <c r="C34" s="22" t="s">
        <v>97</v>
      </c>
    </row>
    <row r="35" spans="2:3" ht="33" x14ac:dyDescent="0.3">
      <c r="B35" s="90" t="s">
        <v>98</v>
      </c>
      <c r="C35" s="22" t="s">
        <v>99</v>
      </c>
    </row>
    <row r="36" spans="2:3" ht="49.5" x14ac:dyDescent="0.3">
      <c r="B36" s="90" t="s">
        <v>100</v>
      </c>
      <c r="C36" s="22" t="s">
        <v>101</v>
      </c>
    </row>
    <row r="37" spans="2:3" ht="49.5" x14ac:dyDescent="0.3">
      <c r="B37" s="90" t="s">
        <v>102</v>
      </c>
      <c r="C37" s="22" t="s">
        <v>103</v>
      </c>
    </row>
    <row r="38" spans="2:3" ht="49.5" x14ac:dyDescent="0.3">
      <c r="B38" s="91" t="s">
        <v>104</v>
      </c>
      <c r="C38" s="87" t="s">
        <v>105</v>
      </c>
    </row>
    <row r="39" spans="2:3" ht="82.5" customHeight="1" x14ac:dyDescent="0.3">
      <c r="B39" s="91" t="s">
        <v>106</v>
      </c>
      <c r="C39" s="87" t="s">
        <v>107</v>
      </c>
    </row>
  </sheetData>
  <sortState ref="B5:C37">
    <sortCondition ref="B5:B37"/>
  </sortState>
  <mergeCells count="1">
    <mergeCell ref="B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O352"/>
  <sheetViews>
    <sheetView showGridLines="0" topLeftCell="A143" zoomScale="80" zoomScaleNormal="80" workbookViewId="0">
      <selection activeCell="I161" sqref="I161:I168"/>
    </sheetView>
  </sheetViews>
  <sheetFormatPr baseColWidth="10" defaultColWidth="3.140625" defaultRowHeight="0" customHeight="1" zeroHeight="1" x14ac:dyDescent="0.3"/>
  <cols>
    <col min="1" max="1" width="8.42578125" style="12" customWidth="1"/>
    <col min="2" max="2" width="3.5703125" style="12" hidden="1" customWidth="1"/>
    <col min="3" max="3" width="42.5703125" style="12" customWidth="1"/>
    <col min="4" max="4" width="36.140625" style="12" customWidth="1"/>
    <col min="5" max="5" width="41.140625" style="12" customWidth="1"/>
    <col min="6" max="6" width="8.140625" style="12" customWidth="1"/>
    <col min="7" max="7" width="3.5703125" style="12" bestFit="1" customWidth="1"/>
    <col min="8" max="8" width="46.42578125" style="12" customWidth="1"/>
    <col min="9" max="9" width="49.5703125" style="12" customWidth="1"/>
    <col min="10" max="10" width="7.42578125" style="12" customWidth="1"/>
    <col min="11" max="11" width="19" style="12" customWidth="1"/>
    <col min="12" max="12" width="3.140625" style="49" customWidth="1"/>
    <col min="13" max="13" width="7.28515625" style="49" customWidth="1"/>
    <col min="14" max="14" width="12.28515625" style="83" customWidth="1"/>
    <col min="15" max="15" width="12.28515625" style="111" customWidth="1"/>
    <col min="16" max="16364" width="3.140625" style="12" customWidth="1"/>
    <col min="16365" max="16384" width="3.140625" style="12"/>
  </cols>
  <sheetData>
    <row r="4" spans="5:10" ht="9.9499999999999993" customHeight="1" x14ac:dyDescent="0.3"/>
    <row r="5" spans="5:10" ht="9.9499999999999993" customHeight="1" x14ac:dyDescent="0.3"/>
    <row r="6" spans="5:10" ht="9.9499999999999993" customHeight="1" x14ac:dyDescent="0.3"/>
    <row r="7" spans="5:10" ht="9.9499999999999993" customHeight="1" x14ac:dyDescent="0.3"/>
    <row r="8" spans="5:10" ht="9.9499999999999993" customHeight="1" x14ac:dyDescent="0.3"/>
    <row r="9" spans="5:10" ht="9.9499999999999993" customHeight="1" x14ac:dyDescent="0.3"/>
    <row r="10" spans="5:10" ht="9.9499999999999993" customHeight="1" x14ac:dyDescent="0.3"/>
    <row r="11" spans="5:10" ht="9.9499999999999993" customHeight="1" x14ac:dyDescent="0.3"/>
    <row r="12" spans="5:10" ht="9.9499999999999993" customHeight="1" x14ac:dyDescent="0.3"/>
    <row r="13" spans="5:10" ht="9.9499999999999993" customHeight="1" x14ac:dyDescent="0.3">
      <c r="E13" s="380"/>
      <c r="F13" s="381"/>
      <c r="G13" s="381"/>
      <c r="H13" s="381"/>
      <c r="I13" s="381"/>
      <c r="J13" s="381"/>
    </row>
    <row r="14" spans="5:10" ht="31.5" customHeight="1" x14ac:dyDescent="0.3">
      <c r="E14" s="380"/>
      <c r="F14" s="381"/>
      <c r="G14" s="381"/>
      <c r="H14" s="381"/>
      <c r="I14" s="381"/>
      <c r="J14" s="381"/>
    </row>
    <row r="15" spans="5:10" ht="24.75" customHeight="1" x14ac:dyDescent="0.3">
      <c r="E15" s="57"/>
      <c r="F15" s="382"/>
      <c r="G15" s="382"/>
      <c r="H15" s="382"/>
      <c r="I15" s="382"/>
      <c r="J15" s="382"/>
    </row>
    <row r="16" spans="5:10" ht="20.25" customHeight="1" x14ac:dyDescent="0.3"/>
    <row r="17" spans="1:15" ht="9.9499999999999993" customHeight="1" x14ac:dyDescent="0.3"/>
    <row r="18" spans="1:15" ht="20.100000000000001" customHeight="1" x14ac:dyDescent="0.3">
      <c r="C18" s="421" t="s">
        <v>108</v>
      </c>
      <c r="D18" s="421"/>
      <c r="E18" s="421"/>
      <c r="F18" s="421"/>
      <c r="G18" s="421"/>
      <c r="H18" s="421"/>
      <c r="I18" s="421"/>
      <c r="J18" s="421"/>
      <c r="K18" s="421"/>
    </row>
    <row r="19" spans="1:15" ht="60" customHeight="1" x14ac:dyDescent="0.3">
      <c r="C19" s="422" t="s">
        <v>109</v>
      </c>
      <c r="D19" s="422"/>
      <c r="E19" s="422"/>
      <c r="F19" s="422"/>
      <c r="G19" s="422"/>
      <c r="H19" s="422"/>
      <c r="I19" s="422"/>
      <c r="J19" s="422"/>
      <c r="K19" s="422"/>
    </row>
    <row r="20" spans="1:15" ht="9.9499999999999993" customHeight="1" thickBot="1" x14ac:dyDescent="0.35">
      <c r="B20" s="13"/>
      <c r="C20" s="13"/>
      <c r="D20" s="13"/>
      <c r="F20" s="14"/>
    </row>
    <row r="21" spans="1:15" ht="36.75" customHeight="1" x14ac:dyDescent="0.3">
      <c r="B21" s="365" t="s">
        <v>110</v>
      </c>
      <c r="C21" s="367" t="s">
        <v>111</v>
      </c>
      <c r="D21" s="349" t="s">
        <v>112</v>
      </c>
      <c r="E21" s="420" t="s">
        <v>113</v>
      </c>
      <c r="F21" s="370" t="s">
        <v>114</v>
      </c>
      <c r="G21" s="386" t="s">
        <v>115</v>
      </c>
      <c r="H21" s="387"/>
      <c r="I21" s="388"/>
      <c r="J21" s="370" t="s">
        <v>116</v>
      </c>
      <c r="K21" s="370" t="s">
        <v>117</v>
      </c>
      <c r="L21" s="359"/>
      <c r="M21" s="359"/>
      <c r="N21" s="309"/>
      <c r="O21" s="311"/>
    </row>
    <row r="22" spans="1:15" ht="29.25" customHeight="1" x14ac:dyDescent="0.3">
      <c r="B22" s="365"/>
      <c r="C22" s="367"/>
      <c r="D22" s="350"/>
      <c r="E22" s="350"/>
      <c r="F22" s="370"/>
      <c r="G22" s="383" t="s">
        <v>13</v>
      </c>
      <c r="H22" s="385" t="s">
        <v>15</v>
      </c>
      <c r="I22" s="349" t="s">
        <v>17</v>
      </c>
      <c r="J22" s="370"/>
      <c r="K22" s="370"/>
      <c r="L22" s="359"/>
      <c r="M22" s="359"/>
      <c r="N22" s="309"/>
      <c r="O22" s="311"/>
    </row>
    <row r="23" spans="1:15" ht="79.5" customHeight="1" x14ac:dyDescent="0.3">
      <c r="B23" s="366"/>
      <c r="C23" s="368"/>
      <c r="D23" s="350"/>
      <c r="E23" s="350"/>
      <c r="F23" s="371"/>
      <c r="G23" s="384"/>
      <c r="H23" s="349"/>
      <c r="I23" s="350"/>
      <c r="J23" s="371"/>
      <c r="K23" s="371"/>
      <c r="L23" s="359"/>
      <c r="M23" s="359"/>
      <c r="N23" s="309"/>
      <c r="O23" s="311"/>
    </row>
    <row r="24" spans="1:15" ht="92.25" customHeight="1" x14ac:dyDescent="0.3">
      <c r="A24" s="427" t="s">
        <v>118</v>
      </c>
      <c r="B24" s="364" t="str">
        <f>+LEFT(C24,3)</f>
        <v xml:space="preserve"> Ap</v>
      </c>
      <c r="C24" s="389" t="s">
        <v>119</v>
      </c>
      <c r="D24" s="389" t="s">
        <v>120</v>
      </c>
      <c r="E24" s="389" t="s">
        <v>121</v>
      </c>
      <c r="F24" s="416">
        <v>3</v>
      </c>
      <c r="G24" s="103">
        <v>1</v>
      </c>
      <c r="H24" s="157" t="s">
        <v>122</v>
      </c>
      <c r="I24" s="389" t="s">
        <v>123</v>
      </c>
      <c r="J24" s="416">
        <v>3</v>
      </c>
      <c r="K24" s="372" t="str">
        <f>+IF(OR(ISBLANK(F24),ISBLANK(J24)),"",IF(OR(AND(F24=1,J24=1),AND(F24=1,J24=2),AND(F24=1,J24=3)),"Deficiencia de control mayor (diseño y ejecución)",IF(OR(AND(F24=2,J24=2),AND(F24=3,J24=1),AND(F24=3,J24=2),AND(F24=2,J24=1)),"Deficiencia de control (diseño o ejecución)",IF(AND(F24=2,J24=3),"Oportunidad de mejora","Mantenimiento del control"))))</f>
        <v>Mantenimiento del control</v>
      </c>
      <c r="L24" s="357"/>
      <c r="M24" s="357"/>
      <c r="N24" s="299"/>
      <c r="O24" s="310"/>
    </row>
    <row r="25" spans="1:15" ht="79.5" customHeight="1" x14ac:dyDescent="0.3">
      <c r="A25" s="427"/>
      <c r="B25" s="364"/>
      <c r="C25" s="389"/>
      <c r="D25" s="389"/>
      <c r="E25" s="389"/>
      <c r="F25" s="416"/>
      <c r="G25" s="103">
        <v>2</v>
      </c>
      <c r="H25" s="157" t="s">
        <v>124</v>
      </c>
      <c r="I25" s="389"/>
      <c r="J25" s="416"/>
      <c r="K25" s="372"/>
      <c r="L25" s="357"/>
      <c r="M25" s="357"/>
      <c r="N25" s="299"/>
      <c r="O25" s="310"/>
    </row>
    <row r="26" spans="1:15" ht="75" customHeight="1" x14ac:dyDescent="0.3">
      <c r="A26" s="427"/>
      <c r="B26" s="364"/>
      <c r="C26" s="389"/>
      <c r="D26" s="389"/>
      <c r="E26" s="389"/>
      <c r="F26" s="416"/>
      <c r="G26" s="103">
        <v>3</v>
      </c>
      <c r="H26" s="157" t="s">
        <v>125</v>
      </c>
      <c r="I26" s="389"/>
      <c r="J26" s="416"/>
      <c r="K26" s="372"/>
      <c r="L26" s="357"/>
      <c r="M26" s="357"/>
      <c r="N26" s="299"/>
      <c r="O26" s="310"/>
    </row>
    <row r="27" spans="1:15" ht="16.5" x14ac:dyDescent="0.3">
      <c r="A27" s="427"/>
      <c r="B27" s="364"/>
      <c r="C27" s="389"/>
      <c r="D27" s="389"/>
      <c r="E27" s="389"/>
      <c r="F27" s="416"/>
      <c r="G27" s="103">
        <v>4</v>
      </c>
      <c r="H27" s="104"/>
      <c r="I27" s="389"/>
      <c r="J27" s="416"/>
      <c r="K27" s="372"/>
      <c r="L27" s="357"/>
      <c r="M27" s="357"/>
      <c r="N27" s="299"/>
      <c r="O27" s="310"/>
    </row>
    <row r="28" spans="1:15" ht="16.5" x14ac:dyDescent="0.3">
      <c r="A28" s="427"/>
      <c r="B28" s="364"/>
      <c r="C28" s="389"/>
      <c r="D28" s="389"/>
      <c r="E28" s="389"/>
      <c r="F28" s="416"/>
      <c r="G28" s="103">
        <v>5</v>
      </c>
      <c r="H28" s="104"/>
      <c r="I28" s="389"/>
      <c r="J28" s="416"/>
      <c r="K28" s="372"/>
      <c r="L28" s="357"/>
      <c r="M28" s="357"/>
      <c r="N28" s="299"/>
      <c r="O28" s="310"/>
    </row>
    <row r="29" spans="1:15" ht="16.5" x14ac:dyDescent="0.3">
      <c r="A29" s="427"/>
      <c r="B29" s="364"/>
      <c r="C29" s="389"/>
      <c r="D29" s="389"/>
      <c r="E29" s="389"/>
      <c r="F29" s="416"/>
      <c r="G29" s="103">
        <v>6</v>
      </c>
      <c r="H29" s="104"/>
      <c r="I29" s="389"/>
      <c r="J29" s="416"/>
      <c r="K29" s="372"/>
      <c r="L29" s="357"/>
      <c r="M29" s="357"/>
      <c r="N29" s="299"/>
      <c r="O29" s="310"/>
    </row>
    <row r="30" spans="1:15" ht="16.5" x14ac:dyDescent="0.3">
      <c r="A30" s="427"/>
      <c r="B30" s="364"/>
      <c r="C30" s="389"/>
      <c r="D30" s="389"/>
      <c r="E30" s="389"/>
      <c r="F30" s="416"/>
      <c r="G30" s="103">
        <v>7</v>
      </c>
      <c r="H30" s="104"/>
      <c r="I30" s="389"/>
      <c r="J30" s="416"/>
      <c r="K30" s="372"/>
      <c r="L30" s="357"/>
      <c r="M30" s="357"/>
      <c r="N30" s="299"/>
      <c r="O30" s="310"/>
    </row>
    <row r="31" spans="1:15" ht="120" customHeight="1" thickBot="1" x14ac:dyDescent="0.35">
      <c r="A31" s="427"/>
      <c r="B31" s="364"/>
      <c r="C31" s="389"/>
      <c r="D31" s="389"/>
      <c r="E31" s="389"/>
      <c r="F31" s="416"/>
      <c r="G31" s="103">
        <v>8</v>
      </c>
      <c r="H31" s="223"/>
      <c r="I31" s="389"/>
      <c r="J31" s="416"/>
      <c r="K31" s="372"/>
      <c r="L31" s="357"/>
      <c r="M31" s="357"/>
      <c r="N31" s="299"/>
      <c r="O31" s="310"/>
    </row>
    <row r="32" spans="1:15" ht="37.15" customHeight="1" x14ac:dyDescent="0.3">
      <c r="B32" s="369" t="str">
        <f>+LEFT(C32,3)</f>
        <v>1.1</v>
      </c>
      <c r="C32" s="369" t="s">
        <v>126</v>
      </c>
      <c r="D32" s="411" t="s">
        <v>120</v>
      </c>
      <c r="E32" s="301" t="s">
        <v>127</v>
      </c>
      <c r="F32" s="425">
        <v>3</v>
      </c>
      <c r="G32" s="114">
        <v>1</v>
      </c>
      <c r="H32" s="221" t="s">
        <v>540</v>
      </c>
      <c r="I32" s="417" t="s">
        <v>760</v>
      </c>
      <c r="J32" s="324">
        <v>3</v>
      </c>
      <c r="K32" s="428" t="str">
        <f>+IF(OR(ISBLANK(F32),ISBLANK(J32)),"",IF(OR(AND(F32=1,J32=1),AND(F32=1,J32=2),AND(F32=1,J32=3)),"Deficiencia de control mayor (diseño y ejecución)",IF(OR(AND(F32=2,J32=2),AND(F32=3,J32=1),AND(F32=3,J32=2),AND(F32=2,J32=1)),"Deficiencia de control (diseño o ejecución)",IF(AND(F32=2,J32=3),"Oportunidad de mejora","Mantenimiento del control"))))</f>
        <v>Mantenimiento del control</v>
      </c>
      <c r="L32" s="357">
        <f>+IF(K32="",0,IF(K32="Deficiencia de control mayor (diseño y ejecución)",4,IF(K32="Deficiencia de control (diseño o ejecución)",20,IF(K32="Oportunidad de mejora",40,60))))</f>
        <v>60</v>
      </c>
      <c r="M32" s="357">
        <v>4.5870000000000001E-2</v>
      </c>
      <c r="N32" s="299">
        <f>+L32+M32</f>
        <v>60.045870000000001</v>
      </c>
      <c r="O32" s="310"/>
    </row>
    <row r="33" spans="2:15" ht="30" customHeight="1" x14ac:dyDescent="0.3">
      <c r="B33" s="336"/>
      <c r="C33" s="336"/>
      <c r="D33" s="411"/>
      <c r="E33" s="301"/>
      <c r="F33" s="425"/>
      <c r="G33" s="115">
        <v>2</v>
      </c>
      <c r="H33" s="220" t="s">
        <v>538</v>
      </c>
      <c r="I33" s="418"/>
      <c r="J33" s="324"/>
      <c r="K33" s="374"/>
      <c r="L33" s="357"/>
      <c r="M33" s="357"/>
      <c r="N33" s="299"/>
      <c r="O33" s="310"/>
    </row>
    <row r="34" spans="2:15" ht="51" customHeight="1" x14ac:dyDescent="0.3">
      <c r="B34" s="336"/>
      <c r="C34" s="336"/>
      <c r="D34" s="411"/>
      <c r="E34" s="301"/>
      <c r="F34" s="425"/>
      <c r="G34" s="115">
        <v>3</v>
      </c>
      <c r="H34" s="222" t="s">
        <v>494</v>
      </c>
      <c r="I34" s="418"/>
      <c r="J34" s="324"/>
      <c r="K34" s="374"/>
      <c r="L34" s="357"/>
      <c r="M34" s="357"/>
      <c r="N34" s="299"/>
      <c r="O34" s="310"/>
    </row>
    <row r="35" spans="2:15" ht="56.25" customHeight="1" x14ac:dyDescent="0.3">
      <c r="B35" s="336"/>
      <c r="C35" s="336"/>
      <c r="D35" s="411"/>
      <c r="E35" s="301"/>
      <c r="F35" s="425"/>
      <c r="G35" s="115">
        <v>4</v>
      </c>
      <c r="H35" s="167" t="s">
        <v>529</v>
      </c>
      <c r="I35" s="418"/>
      <c r="J35" s="324"/>
      <c r="K35" s="374"/>
      <c r="L35" s="357"/>
      <c r="M35" s="357"/>
      <c r="N35" s="299"/>
      <c r="O35" s="310"/>
    </row>
    <row r="36" spans="2:15" ht="30" customHeight="1" x14ac:dyDescent="0.3">
      <c r="B36" s="336"/>
      <c r="C36" s="336"/>
      <c r="D36" s="411"/>
      <c r="E36" s="301"/>
      <c r="F36" s="425"/>
      <c r="G36" s="115">
        <v>5</v>
      </c>
      <c r="H36" s="209" t="s">
        <v>528</v>
      </c>
      <c r="I36" s="418"/>
      <c r="J36" s="324"/>
      <c r="K36" s="374"/>
      <c r="L36" s="357"/>
      <c r="M36" s="357"/>
      <c r="N36" s="299"/>
      <c r="O36" s="310"/>
    </row>
    <row r="37" spans="2:15" ht="30" customHeight="1" x14ac:dyDescent="0.3">
      <c r="B37" s="336"/>
      <c r="C37" s="336"/>
      <c r="D37" s="411"/>
      <c r="E37" s="301"/>
      <c r="F37" s="425"/>
      <c r="G37" s="115">
        <v>6</v>
      </c>
      <c r="H37" s="168"/>
      <c r="I37" s="418"/>
      <c r="J37" s="324"/>
      <c r="K37" s="374"/>
      <c r="L37" s="357"/>
      <c r="M37" s="357"/>
      <c r="N37" s="299"/>
      <c r="O37" s="310"/>
    </row>
    <row r="38" spans="2:15" ht="30" customHeight="1" x14ac:dyDescent="0.3">
      <c r="B38" s="336"/>
      <c r="C38" s="336"/>
      <c r="D38" s="411"/>
      <c r="E38" s="301"/>
      <c r="F38" s="425"/>
      <c r="G38" s="115">
        <v>7</v>
      </c>
      <c r="H38" s="168"/>
      <c r="I38" s="418"/>
      <c r="J38" s="324"/>
      <c r="K38" s="374"/>
      <c r="L38" s="357"/>
      <c r="M38" s="357"/>
      <c r="N38" s="299"/>
      <c r="O38" s="310"/>
    </row>
    <row r="39" spans="2:15" ht="77.25" customHeight="1" thickBot="1" x14ac:dyDescent="0.35">
      <c r="B39" s="337"/>
      <c r="C39" s="337"/>
      <c r="D39" s="412"/>
      <c r="E39" s="302"/>
      <c r="F39" s="426"/>
      <c r="G39" s="116">
        <v>8</v>
      </c>
      <c r="H39" s="219"/>
      <c r="I39" s="419"/>
      <c r="J39" s="325"/>
      <c r="K39" s="375"/>
      <c r="L39" s="357"/>
      <c r="M39" s="357"/>
      <c r="N39" s="299"/>
      <c r="O39" s="310"/>
    </row>
    <row r="40" spans="2:15" ht="30" customHeight="1" x14ac:dyDescent="0.3">
      <c r="B40" s="335" t="str">
        <f>+LEFT(C40,3)</f>
        <v>1.2</v>
      </c>
      <c r="C40" s="335" t="s">
        <v>128</v>
      </c>
      <c r="D40" s="410" t="s">
        <v>120</v>
      </c>
      <c r="E40" s="341" t="s">
        <v>129</v>
      </c>
      <c r="F40" s="320">
        <v>3</v>
      </c>
      <c r="G40" s="114">
        <v>1</v>
      </c>
      <c r="H40" s="221" t="s">
        <v>540</v>
      </c>
      <c r="I40" s="329" t="s">
        <v>539</v>
      </c>
      <c r="J40" s="344">
        <v>3</v>
      </c>
      <c r="K40" s="373" t="str">
        <f>+IF(OR(ISBLANK(F40),ISBLANK(J40)),"",IF(OR(AND(F40=1,J40=1),AND(F40=1,J40=2),AND(F40=1,J40=3)),"Deficiencia de control mayor (diseño y ejecución)",IF(OR(AND(F40=2,J40=2),AND(F40=3,J40=1),AND(F40=3,J40=2),AND(F40=2,J40=1)),"Deficiencia de control (diseño o ejecución)",IF(AND(F40=2,J40=3),"Oportunidad de mejora","Mantenimiento del control"))))</f>
        <v>Mantenimiento del control</v>
      </c>
      <c r="L40" s="357">
        <f>+IF(K40="",0,IF(K40="Deficiencia de control mayor (diseño y ejecución)",4,IF(K40="Deficiencia de control (diseño o ejecución)",20,IF(K40="Oportunidad de mejora",40,60))))</f>
        <v>60</v>
      </c>
      <c r="M40" s="357">
        <v>5.5690000000000003E-2</v>
      </c>
      <c r="N40" s="299">
        <f>+L40+M40</f>
        <v>60.055689999999998</v>
      </c>
      <c r="O40" s="310"/>
    </row>
    <row r="41" spans="2:15" ht="30.6" customHeight="1" x14ac:dyDescent="0.3">
      <c r="B41" s="336"/>
      <c r="C41" s="336"/>
      <c r="D41" s="411"/>
      <c r="E41" s="342"/>
      <c r="F41" s="321"/>
      <c r="G41" s="115">
        <v>2</v>
      </c>
      <c r="H41" s="220" t="s">
        <v>538</v>
      </c>
      <c r="I41" s="390"/>
      <c r="J41" s="345"/>
      <c r="K41" s="374"/>
      <c r="L41" s="357"/>
      <c r="M41" s="357"/>
      <c r="N41" s="299"/>
      <c r="O41" s="310"/>
    </row>
    <row r="42" spans="2:15" ht="30" customHeight="1" x14ac:dyDescent="0.3">
      <c r="B42" s="336"/>
      <c r="C42" s="336"/>
      <c r="D42" s="411"/>
      <c r="E42" s="342"/>
      <c r="F42" s="321"/>
      <c r="G42" s="115">
        <v>3</v>
      </c>
      <c r="H42" s="164" t="s">
        <v>530</v>
      </c>
      <c r="I42" s="390"/>
      <c r="J42" s="345"/>
      <c r="K42" s="374"/>
      <c r="L42" s="357"/>
      <c r="M42" s="357"/>
      <c r="N42" s="299"/>
      <c r="O42" s="310"/>
    </row>
    <row r="43" spans="2:15" ht="30.6" customHeight="1" x14ac:dyDescent="0.3">
      <c r="B43" s="336"/>
      <c r="C43" s="336"/>
      <c r="D43" s="411"/>
      <c r="E43" s="342"/>
      <c r="F43" s="321"/>
      <c r="G43" s="115">
        <v>4</v>
      </c>
      <c r="H43" s="218" t="s">
        <v>528</v>
      </c>
      <c r="I43" s="390"/>
      <c r="J43" s="345"/>
      <c r="K43" s="374"/>
      <c r="L43" s="357"/>
      <c r="M43" s="357"/>
      <c r="N43" s="299"/>
      <c r="O43" s="310"/>
    </row>
    <row r="44" spans="2:15" ht="30" customHeight="1" x14ac:dyDescent="0.3">
      <c r="B44" s="336"/>
      <c r="C44" s="336"/>
      <c r="D44" s="411"/>
      <c r="E44" s="342"/>
      <c r="F44" s="321"/>
      <c r="G44" s="115">
        <v>5</v>
      </c>
      <c r="H44" s="170"/>
      <c r="I44" s="390"/>
      <c r="J44" s="345"/>
      <c r="K44" s="374"/>
      <c r="L44" s="357"/>
      <c r="M44" s="357"/>
      <c r="N44" s="299"/>
      <c r="O44" s="310"/>
    </row>
    <row r="45" spans="2:15" ht="30" customHeight="1" x14ac:dyDescent="0.3">
      <c r="B45" s="336"/>
      <c r="C45" s="336"/>
      <c r="D45" s="411"/>
      <c r="E45" s="342"/>
      <c r="F45" s="321"/>
      <c r="G45" s="115">
        <v>6</v>
      </c>
      <c r="H45" s="170"/>
      <c r="I45" s="390"/>
      <c r="J45" s="345"/>
      <c r="K45" s="374"/>
      <c r="L45" s="357"/>
      <c r="M45" s="357"/>
      <c r="N45" s="299"/>
      <c r="O45" s="310"/>
    </row>
    <row r="46" spans="2:15" ht="30.6" customHeight="1" x14ac:dyDescent="0.3">
      <c r="B46" s="336"/>
      <c r="C46" s="336"/>
      <c r="D46" s="411"/>
      <c r="E46" s="342"/>
      <c r="F46" s="321"/>
      <c r="G46" s="115">
        <v>7</v>
      </c>
      <c r="H46" s="170"/>
      <c r="I46" s="390"/>
      <c r="J46" s="345"/>
      <c r="K46" s="374"/>
      <c r="L46" s="357"/>
      <c r="M46" s="357"/>
      <c r="N46" s="299"/>
      <c r="O46" s="310"/>
    </row>
    <row r="47" spans="2:15" ht="179.25" customHeight="1" thickBot="1" x14ac:dyDescent="0.35">
      <c r="B47" s="337"/>
      <c r="C47" s="337"/>
      <c r="D47" s="412"/>
      <c r="E47" s="343"/>
      <c r="F47" s="322"/>
      <c r="G47" s="117">
        <v>8</v>
      </c>
      <c r="H47" s="171"/>
      <c r="I47" s="391"/>
      <c r="J47" s="346"/>
      <c r="K47" s="375"/>
      <c r="L47" s="357"/>
      <c r="M47" s="357"/>
      <c r="N47" s="299"/>
      <c r="O47" s="310"/>
    </row>
    <row r="48" spans="2:15" ht="45.75" customHeight="1" x14ac:dyDescent="0.3">
      <c r="B48" s="335" t="str">
        <f>+LEFT(C48,3)</f>
        <v>1.3</v>
      </c>
      <c r="C48" s="335" t="s">
        <v>130</v>
      </c>
      <c r="D48" s="410" t="s">
        <v>131</v>
      </c>
      <c r="E48" s="341" t="s">
        <v>537</v>
      </c>
      <c r="F48" s="320">
        <v>3</v>
      </c>
      <c r="G48" s="118">
        <v>1</v>
      </c>
      <c r="H48" s="172" t="s">
        <v>531</v>
      </c>
      <c r="I48" s="392" t="s">
        <v>542</v>
      </c>
      <c r="J48" s="344">
        <v>3</v>
      </c>
      <c r="K48" s="373" t="str">
        <f>+IF(OR(ISBLANK(F48),ISBLANK(J48)),"",IF(OR(AND(F48=1,J48=1),AND(F48=1,J48=2),AND(F48=1,J48=3)),"Deficiencia de control mayor (diseño y ejecución)",IF(OR(AND(F48=2,J48=2),AND(F48=3,J48=1),AND(F48=3,J48=2),AND(F48=2,J48=1)),"Deficiencia de control (diseño o ejecución)",IF(AND(F48=2,J48=3),"Oportunidad de mejora","Mantenimiento del control"))))</f>
        <v>Mantenimiento del control</v>
      </c>
      <c r="L48" s="357">
        <f>+IF(K48="",0,IF(K48="Deficiencia de control mayor (diseño y ejecución)",4,IF(K48="Deficiencia de control (diseño o ejecución)",20,IF(K48="Oportunidad de mejora",40,60))))</f>
        <v>60</v>
      </c>
      <c r="M48" s="357">
        <v>6.6895999999999997E-2</v>
      </c>
      <c r="N48" s="306">
        <f>+L48+M48</f>
        <v>60.066896</v>
      </c>
      <c r="O48" s="312"/>
    </row>
    <row r="49" spans="2:15" ht="47.25" customHeight="1" x14ac:dyDescent="0.3">
      <c r="B49" s="336"/>
      <c r="C49" s="336"/>
      <c r="D49" s="411"/>
      <c r="E49" s="423"/>
      <c r="F49" s="321"/>
      <c r="G49" s="181">
        <v>2</v>
      </c>
      <c r="H49" s="220" t="s">
        <v>533</v>
      </c>
      <c r="I49" s="393"/>
      <c r="J49" s="345"/>
      <c r="K49" s="374"/>
      <c r="L49" s="357"/>
      <c r="M49" s="357"/>
      <c r="N49" s="306"/>
      <c r="O49" s="312"/>
    </row>
    <row r="50" spans="2:15" ht="30" customHeight="1" x14ac:dyDescent="0.3">
      <c r="B50" s="336"/>
      <c r="C50" s="336"/>
      <c r="D50" s="411"/>
      <c r="E50" s="423"/>
      <c r="F50" s="321"/>
      <c r="G50" s="115">
        <v>3</v>
      </c>
      <c r="H50" s="220" t="s">
        <v>532</v>
      </c>
      <c r="I50" s="394"/>
      <c r="J50" s="345"/>
      <c r="K50" s="374"/>
      <c r="L50" s="357"/>
      <c r="M50" s="357"/>
      <c r="N50" s="306"/>
      <c r="O50" s="312"/>
    </row>
    <row r="51" spans="2:15" ht="30" customHeight="1" x14ac:dyDescent="0.3">
      <c r="B51" s="336"/>
      <c r="C51" s="336"/>
      <c r="D51" s="411"/>
      <c r="E51" s="423"/>
      <c r="F51" s="321"/>
      <c r="G51" s="115">
        <v>4</v>
      </c>
      <c r="H51" s="172" t="s">
        <v>534</v>
      </c>
      <c r="I51" s="394"/>
      <c r="J51" s="345"/>
      <c r="K51" s="374"/>
      <c r="L51" s="357"/>
      <c r="M51" s="357"/>
      <c r="N51" s="306"/>
      <c r="O51" s="312"/>
    </row>
    <row r="52" spans="2:15" ht="30" customHeight="1" x14ac:dyDescent="0.3">
      <c r="B52" s="336"/>
      <c r="C52" s="336"/>
      <c r="D52" s="411"/>
      <c r="E52" s="423"/>
      <c r="F52" s="321"/>
      <c r="G52" s="115">
        <v>5</v>
      </c>
      <c r="H52" s="220" t="s">
        <v>535</v>
      </c>
      <c r="I52" s="394"/>
      <c r="J52" s="345"/>
      <c r="K52" s="374"/>
      <c r="L52" s="357"/>
      <c r="M52" s="357"/>
      <c r="N52" s="306"/>
      <c r="O52" s="312"/>
    </row>
    <row r="53" spans="2:15" ht="30" customHeight="1" x14ac:dyDescent="0.3">
      <c r="B53" s="336"/>
      <c r="C53" s="336"/>
      <c r="D53" s="411"/>
      <c r="E53" s="423"/>
      <c r="F53" s="321"/>
      <c r="G53" s="115">
        <v>6</v>
      </c>
      <c r="H53" s="220" t="s">
        <v>536</v>
      </c>
      <c r="I53" s="394"/>
      <c r="J53" s="345"/>
      <c r="K53" s="374"/>
      <c r="L53" s="357"/>
      <c r="M53" s="357"/>
      <c r="N53" s="306"/>
      <c r="O53" s="312"/>
    </row>
    <row r="54" spans="2:15" ht="34.9" customHeight="1" x14ac:dyDescent="0.3">
      <c r="B54" s="336"/>
      <c r="C54" s="336"/>
      <c r="D54" s="411"/>
      <c r="E54" s="423"/>
      <c r="F54" s="321"/>
      <c r="G54" s="115">
        <v>7</v>
      </c>
      <c r="H54" s="220"/>
      <c r="I54" s="394"/>
      <c r="J54" s="345"/>
      <c r="K54" s="374"/>
      <c r="L54" s="357"/>
      <c r="M54" s="357"/>
      <c r="N54" s="306"/>
      <c r="O54" s="312"/>
    </row>
    <row r="55" spans="2:15" ht="203.25" customHeight="1" thickBot="1" x14ac:dyDescent="0.35">
      <c r="B55" s="337"/>
      <c r="C55" s="337"/>
      <c r="D55" s="412"/>
      <c r="E55" s="424"/>
      <c r="F55" s="322"/>
      <c r="G55" s="117">
        <v>8</v>
      </c>
      <c r="H55" s="156"/>
      <c r="I55" s="395"/>
      <c r="J55" s="346"/>
      <c r="K55" s="375"/>
      <c r="L55" s="357"/>
      <c r="M55" s="357"/>
      <c r="N55" s="306"/>
      <c r="O55" s="312"/>
    </row>
    <row r="56" spans="2:15" ht="30" customHeight="1" x14ac:dyDescent="0.3">
      <c r="B56" s="335" t="str">
        <f>+LEFT(C56,3)</f>
        <v>1.4</v>
      </c>
      <c r="C56" s="314" t="s">
        <v>132</v>
      </c>
      <c r="D56" s="317" t="s">
        <v>133</v>
      </c>
      <c r="E56" s="300" t="s">
        <v>547</v>
      </c>
      <c r="F56" s="320">
        <v>3</v>
      </c>
      <c r="G56" s="118">
        <v>1</v>
      </c>
      <c r="H56" s="220" t="s">
        <v>545</v>
      </c>
      <c r="I56" s="435" t="s">
        <v>548</v>
      </c>
      <c r="J56" s="323">
        <v>3</v>
      </c>
      <c r="K56" s="326" t="str">
        <f>+IF(OR(ISBLANK(F56),ISBLANK(J56)),"",IF(OR(AND(F56=1,J56=1),AND(F56=1,J56=2),AND(F56=1,J56=3)),"Deficiencia de control mayor (diseño y ejecución)",IF(OR(AND(F56=2,J56=2),AND(F56=3,J56=1),AND(F56=3,J56=2),AND(F56=2,J56=1)),"Deficiencia de control (diseño o ejecución)",IF(AND(F56=2,J56=3),"Oportunidad de mejora","Mantenimiento del control"))))</f>
        <v>Mantenimiento del control</v>
      </c>
      <c r="L56" s="357">
        <f>+IF(K56="",0,IF(K56="Deficiencia de control mayor (diseño y ejecución)",4,IF(K56="Deficiencia de control (diseño o ejecución)",20,IF(K56="Oportunidad de mejora",40,60))))</f>
        <v>60</v>
      </c>
      <c r="M56" s="357">
        <v>6.6909999999999997E-2</v>
      </c>
      <c r="N56" s="307">
        <f>+L56+M56</f>
        <v>60.06691</v>
      </c>
      <c r="O56" s="313"/>
    </row>
    <row r="57" spans="2:15" ht="30" customHeight="1" x14ac:dyDescent="0.3">
      <c r="B57" s="336"/>
      <c r="C57" s="315"/>
      <c r="D57" s="318"/>
      <c r="E57" s="301"/>
      <c r="F57" s="321"/>
      <c r="G57" s="115">
        <v>2</v>
      </c>
      <c r="H57" s="218" t="s">
        <v>135</v>
      </c>
      <c r="I57" s="436"/>
      <c r="J57" s="324"/>
      <c r="K57" s="327"/>
      <c r="L57" s="357"/>
      <c r="M57" s="357"/>
      <c r="N57" s="307"/>
      <c r="O57" s="313"/>
    </row>
    <row r="58" spans="2:15" ht="30" customHeight="1" x14ac:dyDescent="0.3">
      <c r="B58" s="336"/>
      <c r="C58" s="315"/>
      <c r="D58" s="318"/>
      <c r="E58" s="301"/>
      <c r="F58" s="321"/>
      <c r="G58" s="115">
        <v>3</v>
      </c>
      <c r="H58" s="220" t="s">
        <v>546</v>
      </c>
      <c r="I58" s="436"/>
      <c r="J58" s="324"/>
      <c r="K58" s="327"/>
      <c r="L58" s="357"/>
      <c r="M58" s="357"/>
      <c r="N58" s="307"/>
      <c r="O58" s="313"/>
    </row>
    <row r="59" spans="2:15" ht="30" customHeight="1" x14ac:dyDescent="0.3">
      <c r="B59" s="336"/>
      <c r="C59" s="315"/>
      <c r="D59" s="318"/>
      <c r="E59" s="301"/>
      <c r="F59" s="321"/>
      <c r="G59" s="115">
        <v>4</v>
      </c>
      <c r="H59" s="220" t="s">
        <v>134</v>
      </c>
      <c r="I59" s="436"/>
      <c r="J59" s="324"/>
      <c r="K59" s="327"/>
      <c r="L59" s="357"/>
      <c r="M59" s="357"/>
      <c r="N59" s="307"/>
      <c r="O59" s="313"/>
    </row>
    <row r="60" spans="2:15" ht="30" customHeight="1" x14ac:dyDescent="0.3">
      <c r="B60" s="336"/>
      <c r="C60" s="315"/>
      <c r="D60" s="318"/>
      <c r="E60" s="301"/>
      <c r="F60" s="321"/>
      <c r="G60" s="181">
        <v>5</v>
      </c>
      <c r="H60" s="220" t="s">
        <v>543</v>
      </c>
      <c r="I60" s="437"/>
      <c r="J60" s="324"/>
      <c r="K60" s="327"/>
      <c r="L60" s="357"/>
      <c r="M60" s="357"/>
      <c r="N60" s="307"/>
      <c r="O60" s="313"/>
    </row>
    <row r="61" spans="2:15" ht="30" customHeight="1" x14ac:dyDescent="0.3">
      <c r="B61" s="336"/>
      <c r="C61" s="315"/>
      <c r="D61" s="318"/>
      <c r="E61" s="301"/>
      <c r="F61" s="321"/>
      <c r="G61" s="115">
        <v>6</v>
      </c>
      <c r="H61" s="182" t="s">
        <v>544</v>
      </c>
      <c r="I61" s="436"/>
      <c r="J61" s="324"/>
      <c r="K61" s="327"/>
      <c r="L61" s="357"/>
      <c r="M61" s="357"/>
      <c r="N61" s="307"/>
      <c r="O61" s="313"/>
    </row>
    <row r="62" spans="2:15" ht="30" customHeight="1" x14ac:dyDescent="0.3">
      <c r="B62" s="336"/>
      <c r="C62" s="315"/>
      <c r="D62" s="318"/>
      <c r="E62" s="301"/>
      <c r="F62" s="321"/>
      <c r="G62" s="115">
        <v>7</v>
      </c>
      <c r="H62" s="220"/>
      <c r="I62" s="436"/>
      <c r="J62" s="324"/>
      <c r="K62" s="327"/>
      <c r="L62" s="357"/>
      <c r="M62" s="357"/>
      <c r="N62" s="307"/>
      <c r="O62" s="313"/>
    </row>
    <row r="63" spans="2:15" ht="30" customHeight="1" thickBot="1" x14ac:dyDescent="0.35">
      <c r="B63" s="337"/>
      <c r="C63" s="316"/>
      <c r="D63" s="319"/>
      <c r="E63" s="302"/>
      <c r="F63" s="322"/>
      <c r="G63" s="117">
        <v>8</v>
      </c>
      <c r="H63" s="218"/>
      <c r="I63" s="438"/>
      <c r="J63" s="325"/>
      <c r="K63" s="328"/>
      <c r="L63" s="357"/>
      <c r="M63" s="357"/>
      <c r="N63" s="307"/>
      <c r="O63" s="313"/>
    </row>
    <row r="64" spans="2:15" ht="37.5" customHeight="1" x14ac:dyDescent="0.3">
      <c r="B64" s="335" t="str">
        <f>+LEFT(C64,3)</f>
        <v>1.5</v>
      </c>
      <c r="C64" s="335" t="s">
        <v>136</v>
      </c>
      <c r="D64" s="410" t="s">
        <v>137</v>
      </c>
      <c r="E64" s="341" t="s">
        <v>138</v>
      </c>
      <c r="F64" s="320">
        <v>2</v>
      </c>
      <c r="G64" s="118">
        <v>1</v>
      </c>
      <c r="H64" s="217" t="s">
        <v>538</v>
      </c>
      <c r="I64" s="329" t="s">
        <v>495</v>
      </c>
      <c r="J64" s="344">
        <v>3</v>
      </c>
      <c r="K64" s="373" t="str">
        <f>+IF(OR(ISBLANK(F64),ISBLANK(J64)),"",IF(OR(AND(F64=1,J64=1),AND(F64=1,J64=2),AND(F64=1,J64=3)),"Deficiencia de control mayor (diseño y ejecución)",IF(OR(AND(F64=2,J64=2),AND(F64=3,J64=1),AND(F64=3,J64=2),AND(F64=2,J64=1)),"Deficiencia de control (diseño o ejecución)",IF(AND(F64=2,J64=3),"Oportunidad de mejora","Mantenimiento del control"))))</f>
        <v>Oportunidad de mejora</v>
      </c>
      <c r="L64" s="357">
        <f>+IF(K64="",0,IF(K64="Deficiencia de control mayor (diseño y ejecución)",4,IF(K64="Deficiencia de control (diseño o ejecución)",20,IF(K64="Oportunidad de mejora",40,60))))</f>
        <v>40</v>
      </c>
      <c r="M64" s="357">
        <v>7.3568999999999996E-2</v>
      </c>
      <c r="N64" s="299">
        <f>+L64+M64</f>
        <v>40.073568999999999</v>
      </c>
      <c r="O64" s="310"/>
    </row>
    <row r="65" spans="2:15" ht="38.25" customHeight="1" x14ac:dyDescent="0.3">
      <c r="B65" s="336"/>
      <c r="C65" s="336"/>
      <c r="D65" s="411"/>
      <c r="E65" s="342"/>
      <c r="F65" s="321"/>
      <c r="G65" s="115">
        <v>2</v>
      </c>
      <c r="H65" s="172" t="s">
        <v>540</v>
      </c>
      <c r="I65" s="330"/>
      <c r="J65" s="345"/>
      <c r="K65" s="374"/>
      <c r="L65" s="357"/>
      <c r="M65" s="357"/>
      <c r="N65" s="299"/>
      <c r="O65" s="310"/>
    </row>
    <row r="66" spans="2:15" ht="30" customHeight="1" x14ac:dyDescent="0.3">
      <c r="B66" s="336"/>
      <c r="C66" s="336"/>
      <c r="D66" s="411"/>
      <c r="E66" s="342"/>
      <c r="F66" s="321"/>
      <c r="G66" s="115">
        <v>3</v>
      </c>
      <c r="H66" s="218" t="s">
        <v>139</v>
      </c>
      <c r="I66" s="330"/>
      <c r="J66" s="345"/>
      <c r="K66" s="374"/>
      <c r="L66" s="357"/>
      <c r="M66" s="357"/>
      <c r="N66" s="299"/>
      <c r="O66" s="310"/>
    </row>
    <row r="67" spans="2:15" ht="30" customHeight="1" x14ac:dyDescent="0.3">
      <c r="B67" s="336"/>
      <c r="C67" s="336"/>
      <c r="D67" s="411"/>
      <c r="E67" s="342"/>
      <c r="F67" s="321"/>
      <c r="G67" s="115">
        <v>4</v>
      </c>
      <c r="H67" s="218" t="s">
        <v>140</v>
      </c>
      <c r="I67" s="330"/>
      <c r="J67" s="345"/>
      <c r="K67" s="374"/>
      <c r="L67" s="357"/>
      <c r="M67" s="357"/>
      <c r="N67" s="299"/>
      <c r="O67" s="310"/>
    </row>
    <row r="68" spans="2:15" ht="30" customHeight="1" x14ac:dyDescent="0.3">
      <c r="B68" s="336"/>
      <c r="C68" s="336"/>
      <c r="D68" s="411"/>
      <c r="E68" s="342"/>
      <c r="F68" s="321"/>
      <c r="G68" s="115">
        <v>5</v>
      </c>
      <c r="H68" s="218"/>
      <c r="I68" s="330"/>
      <c r="J68" s="345"/>
      <c r="K68" s="374"/>
      <c r="L68" s="357"/>
      <c r="M68" s="357"/>
      <c r="N68" s="299"/>
      <c r="O68" s="310"/>
    </row>
    <row r="69" spans="2:15" ht="30" customHeight="1" x14ac:dyDescent="0.3">
      <c r="B69" s="336"/>
      <c r="C69" s="336"/>
      <c r="D69" s="411"/>
      <c r="E69" s="342"/>
      <c r="F69" s="321"/>
      <c r="G69" s="115">
        <v>6</v>
      </c>
      <c r="H69" s="155"/>
      <c r="I69" s="330"/>
      <c r="J69" s="345"/>
      <c r="K69" s="374"/>
      <c r="L69" s="357"/>
      <c r="M69" s="357"/>
      <c r="N69" s="299"/>
      <c r="O69" s="310"/>
    </row>
    <row r="70" spans="2:15" ht="30" customHeight="1" x14ac:dyDescent="0.3">
      <c r="B70" s="336"/>
      <c r="C70" s="336"/>
      <c r="D70" s="411"/>
      <c r="E70" s="342"/>
      <c r="F70" s="321"/>
      <c r="G70" s="115">
        <v>7</v>
      </c>
      <c r="H70" s="155"/>
      <c r="I70" s="330"/>
      <c r="J70" s="345"/>
      <c r="K70" s="374"/>
      <c r="L70" s="357"/>
      <c r="M70" s="357"/>
      <c r="N70" s="299"/>
      <c r="O70" s="310"/>
    </row>
    <row r="71" spans="2:15" ht="30" customHeight="1" thickBot="1" x14ac:dyDescent="0.35">
      <c r="B71" s="337"/>
      <c r="C71" s="337"/>
      <c r="D71" s="412"/>
      <c r="E71" s="343"/>
      <c r="F71" s="322"/>
      <c r="G71" s="117">
        <v>8</v>
      </c>
      <c r="H71" s="156"/>
      <c r="I71" s="331"/>
      <c r="J71" s="346"/>
      <c r="K71" s="375"/>
      <c r="L71" s="357"/>
      <c r="M71" s="357"/>
      <c r="N71" s="299"/>
      <c r="O71" s="310"/>
    </row>
    <row r="72" spans="2:15" ht="36.75" customHeight="1" x14ac:dyDescent="0.3">
      <c r="B72" s="367"/>
      <c r="C72" s="367" t="s">
        <v>142</v>
      </c>
      <c r="D72" s="349" t="s">
        <v>8</v>
      </c>
      <c r="E72" s="404" t="s">
        <v>113</v>
      </c>
      <c r="F72" s="352" t="s">
        <v>114</v>
      </c>
      <c r="G72" s="396" t="s">
        <v>115</v>
      </c>
      <c r="H72" s="397"/>
      <c r="I72" s="398"/>
      <c r="J72" s="352" t="s">
        <v>116</v>
      </c>
      <c r="K72" s="376" t="s">
        <v>143</v>
      </c>
      <c r="L72" s="358"/>
      <c r="M72" s="358"/>
      <c r="N72" s="308"/>
      <c r="O72" s="311"/>
    </row>
    <row r="73" spans="2:15" ht="29.25" customHeight="1" x14ac:dyDescent="0.3">
      <c r="B73" s="367"/>
      <c r="C73" s="367"/>
      <c r="D73" s="350"/>
      <c r="E73" s="405"/>
      <c r="F73" s="352"/>
      <c r="G73" s="354" t="s">
        <v>13</v>
      </c>
      <c r="H73" s="409" t="s">
        <v>15</v>
      </c>
      <c r="I73" s="399" t="s">
        <v>17</v>
      </c>
      <c r="J73" s="352"/>
      <c r="K73" s="376"/>
      <c r="L73" s="358"/>
      <c r="M73" s="358"/>
      <c r="N73" s="308"/>
      <c r="O73" s="311"/>
    </row>
    <row r="74" spans="2:15" ht="45.75" customHeight="1" thickBot="1" x14ac:dyDescent="0.35">
      <c r="B74" s="368"/>
      <c r="C74" s="368"/>
      <c r="D74" s="351"/>
      <c r="E74" s="400"/>
      <c r="F74" s="353"/>
      <c r="G74" s="355"/>
      <c r="H74" s="399"/>
      <c r="I74" s="400"/>
      <c r="J74" s="353"/>
      <c r="K74" s="377"/>
      <c r="L74" s="358"/>
      <c r="M74" s="358"/>
      <c r="N74" s="308"/>
      <c r="O74" s="311"/>
    </row>
    <row r="75" spans="2:15" ht="35.450000000000003" customHeight="1" x14ac:dyDescent="0.3">
      <c r="B75" s="335" t="str">
        <f>+LEFT(C75,3)</f>
        <v>2.1</v>
      </c>
      <c r="C75" s="335" t="s">
        <v>144</v>
      </c>
      <c r="D75" s="317" t="s">
        <v>145</v>
      </c>
      <c r="E75" s="341" t="s">
        <v>146</v>
      </c>
      <c r="F75" s="320">
        <v>3</v>
      </c>
      <c r="G75" s="118">
        <v>1</v>
      </c>
      <c r="H75" s="173" t="s">
        <v>147</v>
      </c>
      <c r="I75" s="329" t="s">
        <v>549</v>
      </c>
      <c r="J75" s="344">
        <v>3</v>
      </c>
      <c r="K75" s="373" t="str">
        <f>+IF(OR(ISBLANK(F75),ISBLANK(J75)),"",IF(OR(AND(F75=1,J75=1),AND(F75=1,J75=2),AND(F75=1,J75=3)),"Deficiencia de control mayor (diseño y ejecución)",IF(OR(AND(F75=2,J75=2),AND(F75=3,J75=1),AND(F75=3,J75=2),AND(F75=2,J75=1)),"Deficiencia de control (diseño o ejecución)",IF(AND(F75=2,J75=3),"Oportunidad de mejora","Mantenimiento del control"))))</f>
        <v>Mantenimiento del control</v>
      </c>
      <c r="L75" s="357">
        <f>+IF(K75="",0,IF(K75="Deficiencia de control mayor (diseño y ejecución)",4,IF(K75="Deficiencia de control (diseño o ejecución)",20,IF(K75="Oportunidad de mejora",40,60))))</f>
        <v>60</v>
      </c>
      <c r="M75" s="357">
        <v>8.8965299999999997E-2</v>
      </c>
      <c r="N75" s="299">
        <f>+L75+M75</f>
        <v>60.088965299999998</v>
      </c>
      <c r="O75" s="310"/>
    </row>
    <row r="76" spans="2:15" ht="21" customHeight="1" x14ac:dyDescent="0.3">
      <c r="B76" s="336"/>
      <c r="C76" s="336"/>
      <c r="D76" s="318"/>
      <c r="E76" s="342"/>
      <c r="F76" s="321"/>
      <c r="G76" s="115">
        <v>2</v>
      </c>
      <c r="H76" s="155"/>
      <c r="I76" s="330"/>
      <c r="J76" s="345"/>
      <c r="K76" s="374"/>
      <c r="L76" s="357"/>
      <c r="M76" s="357"/>
      <c r="N76" s="299"/>
      <c r="O76" s="310"/>
    </row>
    <row r="77" spans="2:15" ht="21" customHeight="1" x14ac:dyDescent="0.3">
      <c r="B77" s="336"/>
      <c r="C77" s="336"/>
      <c r="D77" s="318"/>
      <c r="E77" s="342"/>
      <c r="F77" s="321"/>
      <c r="G77" s="115">
        <v>3</v>
      </c>
      <c r="H77" s="155"/>
      <c r="I77" s="330"/>
      <c r="J77" s="345"/>
      <c r="K77" s="374"/>
      <c r="L77" s="357"/>
      <c r="M77" s="357"/>
      <c r="N77" s="299"/>
      <c r="O77" s="310"/>
    </row>
    <row r="78" spans="2:15" ht="21" customHeight="1" x14ac:dyDescent="0.3">
      <c r="B78" s="336"/>
      <c r="C78" s="336"/>
      <c r="D78" s="318"/>
      <c r="E78" s="342"/>
      <c r="F78" s="321"/>
      <c r="G78" s="115">
        <v>4</v>
      </c>
      <c r="H78" s="155"/>
      <c r="I78" s="330"/>
      <c r="J78" s="345"/>
      <c r="K78" s="374"/>
      <c r="L78" s="357"/>
      <c r="M78" s="357"/>
      <c r="N78" s="299"/>
      <c r="O78" s="310"/>
    </row>
    <row r="79" spans="2:15" ht="21" customHeight="1" x14ac:dyDescent="0.3">
      <c r="B79" s="336"/>
      <c r="C79" s="336"/>
      <c r="D79" s="318"/>
      <c r="E79" s="342"/>
      <c r="F79" s="321"/>
      <c r="G79" s="115">
        <v>5</v>
      </c>
      <c r="H79" s="155"/>
      <c r="I79" s="330"/>
      <c r="J79" s="345"/>
      <c r="K79" s="374"/>
      <c r="L79" s="357"/>
      <c r="M79" s="357"/>
      <c r="N79" s="299"/>
      <c r="O79" s="310"/>
    </row>
    <row r="80" spans="2:15" ht="21" customHeight="1" x14ac:dyDescent="0.3">
      <c r="B80" s="336"/>
      <c r="C80" s="336"/>
      <c r="D80" s="318"/>
      <c r="E80" s="342"/>
      <c r="F80" s="321"/>
      <c r="G80" s="115">
        <v>6</v>
      </c>
      <c r="H80" s="155"/>
      <c r="I80" s="330"/>
      <c r="J80" s="345"/>
      <c r="K80" s="374"/>
      <c r="L80" s="357"/>
      <c r="M80" s="357"/>
      <c r="N80" s="299"/>
      <c r="O80" s="310"/>
    </row>
    <row r="81" spans="2:15" ht="21" customHeight="1" x14ac:dyDescent="0.3">
      <c r="B81" s="336"/>
      <c r="C81" s="336"/>
      <c r="D81" s="318"/>
      <c r="E81" s="342"/>
      <c r="F81" s="321"/>
      <c r="G81" s="115">
        <v>7</v>
      </c>
      <c r="H81" s="155"/>
      <c r="I81" s="330"/>
      <c r="J81" s="345"/>
      <c r="K81" s="374"/>
      <c r="L81" s="357"/>
      <c r="M81" s="357"/>
      <c r="N81" s="299"/>
      <c r="O81" s="310"/>
    </row>
    <row r="82" spans="2:15" ht="21" customHeight="1" thickBot="1" x14ac:dyDescent="0.35">
      <c r="B82" s="337"/>
      <c r="C82" s="337"/>
      <c r="D82" s="319"/>
      <c r="E82" s="343"/>
      <c r="F82" s="322"/>
      <c r="G82" s="117">
        <v>8</v>
      </c>
      <c r="H82" s="156"/>
      <c r="I82" s="331"/>
      <c r="J82" s="346"/>
      <c r="K82" s="375"/>
      <c r="L82" s="357"/>
      <c r="M82" s="357"/>
      <c r="N82" s="299"/>
      <c r="O82" s="310"/>
    </row>
    <row r="83" spans="2:15" ht="30" customHeight="1" x14ac:dyDescent="0.3">
      <c r="B83" s="335" t="str">
        <f>+LEFT(C83,3)</f>
        <v>2.2</v>
      </c>
      <c r="C83" s="413" t="s">
        <v>148</v>
      </c>
      <c r="D83" s="317" t="s">
        <v>149</v>
      </c>
      <c r="E83" s="341" t="s">
        <v>150</v>
      </c>
      <c r="F83" s="320">
        <v>3</v>
      </c>
      <c r="G83" s="118">
        <v>1</v>
      </c>
      <c r="H83" s="169" t="s">
        <v>151</v>
      </c>
      <c r="I83" s="329" t="s">
        <v>551</v>
      </c>
      <c r="J83" s="344">
        <v>3</v>
      </c>
      <c r="K83" s="373" t="str">
        <f>+IF(OR(ISBLANK(F83),ISBLANK(J83)),"",IF(OR(AND(F83=1,J83=1),AND(F83=1,J83=2),AND(F83=1,J83=3)),"Deficiencia de control mayor (diseño y ejecución)",IF(OR(AND(F83=2,J83=2),AND(F83=3,J83=1),AND(F83=3,J83=2),AND(F83=2,J83=1)),"Deficiencia de control (diseño o ejecución)",IF(AND(F83=2,J83=3),"Oportunidad de mejora","Mantenimiento del control"))))</f>
        <v>Mantenimiento del control</v>
      </c>
      <c r="L83" s="357">
        <f>+IF(K83="",0,IF(K83="Deficiencia de control mayor (diseño y ejecución)",4,IF(K83="Deficiencia de control (diseño o ejecución)",20,IF(K83="Oportunidad de mejora",40,60))))</f>
        <v>60</v>
      </c>
      <c r="M83" s="357">
        <v>9.8965300000000006E-2</v>
      </c>
      <c r="N83" s="299">
        <f>+L83+M83</f>
        <v>60.098965300000003</v>
      </c>
      <c r="O83" s="310"/>
    </row>
    <row r="84" spans="2:15" ht="30" customHeight="1" x14ac:dyDescent="0.3">
      <c r="B84" s="336"/>
      <c r="C84" s="414"/>
      <c r="D84" s="318"/>
      <c r="E84" s="342"/>
      <c r="F84" s="321"/>
      <c r="G84" s="115">
        <v>2</v>
      </c>
      <c r="H84" s="164" t="s">
        <v>152</v>
      </c>
      <c r="I84" s="390"/>
      <c r="J84" s="345"/>
      <c r="K84" s="374"/>
      <c r="L84" s="357"/>
      <c r="M84" s="357"/>
      <c r="N84" s="299"/>
      <c r="O84" s="310"/>
    </row>
    <row r="85" spans="2:15" ht="30" customHeight="1" x14ac:dyDescent="0.3">
      <c r="B85" s="336"/>
      <c r="C85" s="414"/>
      <c r="D85" s="318"/>
      <c r="E85" s="342"/>
      <c r="F85" s="321"/>
      <c r="G85" s="115">
        <v>3</v>
      </c>
      <c r="H85" s="220" t="s">
        <v>554</v>
      </c>
      <c r="I85" s="390"/>
      <c r="J85" s="345"/>
      <c r="K85" s="374"/>
      <c r="L85" s="357"/>
      <c r="M85" s="357"/>
      <c r="N85" s="299"/>
      <c r="O85" s="310"/>
    </row>
    <row r="86" spans="2:15" ht="30" customHeight="1" x14ac:dyDescent="0.3">
      <c r="B86" s="336"/>
      <c r="C86" s="414"/>
      <c r="D86" s="318"/>
      <c r="E86" s="342"/>
      <c r="F86" s="321"/>
      <c r="G86" s="115">
        <v>4</v>
      </c>
      <c r="H86" s="155"/>
      <c r="I86" s="390"/>
      <c r="J86" s="345"/>
      <c r="K86" s="374"/>
      <c r="L86" s="357"/>
      <c r="M86" s="357"/>
      <c r="N86" s="299"/>
      <c r="O86" s="310"/>
    </row>
    <row r="87" spans="2:15" ht="30" customHeight="1" x14ac:dyDescent="0.3">
      <c r="B87" s="336"/>
      <c r="C87" s="414"/>
      <c r="D87" s="318"/>
      <c r="E87" s="342"/>
      <c r="F87" s="321"/>
      <c r="G87" s="115">
        <v>5</v>
      </c>
      <c r="H87" s="155"/>
      <c r="I87" s="390"/>
      <c r="J87" s="345"/>
      <c r="K87" s="374"/>
      <c r="L87" s="357"/>
      <c r="M87" s="357"/>
      <c r="N87" s="299"/>
      <c r="O87" s="310"/>
    </row>
    <row r="88" spans="2:15" ht="30" customHeight="1" x14ac:dyDescent="0.3">
      <c r="B88" s="336"/>
      <c r="C88" s="414"/>
      <c r="D88" s="318"/>
      <c r="E88" s="342"/>
      <c r="F88" s="321"/>
      <c r="G88" s="115">
        <v>6</v>
      </c>
      <c r="H88" s="155"/>
      <c r="I88" s="390"/>
      <c r="J88" s="345"/>
      <c r="K88" s="374"/>
      <c r="L88" s="357"/>
      <c r="M88" s="357"/>
      <c r="N88" s="299"/>
      <c r="O88" s="310"/>
    </row>
    <row r="89" spans="2:15" ht="30" customHeight="1" x14ac:dyDescent="0.3">
      <c r="B89" s="336"/>
      <c r="C89" s="414"/>
      <c r="D89" s="318"/>
      <c r="E89" s="342"/>
      <c r="F89" s="321"/>
      <c r="G89" s="115">
        <v>7</v>
      </c>
      <c r="H89" s="155"/>
      <c r="I89" s="390"/>
      <c r="J89" s="345"/>
      <c r="K89" s="374"/>
      <c r="L89" s="357"/>
      <c r="M89" s="357"/>
      <c r="N89" s="299"/>
      <c r="O89" s="310"/>
    </row>
    <row r="90" spans="2:15" ht="30" customHeight="1" thickBot="1" x14ac:dyDescent="0.35">
      <c r="B90" s="337"/>
      <c r="C90" s="415"/>
      <c r="D90" s="319"/>
      <c r="E90" s="343"/>
      <c r="F90" s="322"/>
      <c r="G90" s="117">
        <v>8</v>
      </c>
      <c r="H90" s="156"/>
      <c r="I90" s="391"/>
      <c r="J90" s="346"/>
      <c r="K90" s="375"/>
      <c r="L90" s="357"/>
      <c r="M90" s="357"/>
      <c r="N90" s="299"/>
      <c r="O90" s="310"/>
    </row>
    <row r="91" spans="2:15" ht="30" customHeight="1" x14ac:dyDescent="0.3">
      <c r="B91" s="335" t="str">
        <f>+LEFT(C91,3)</f>
        <v>2.3</v>
      </c>
      <c r="C91" s="335" t="s">
        <v>153</v>
      </c>
      <c r="D91" s="317" t="s">
        <v>154</v>
      </c>
      <c r="E91" s="341" t="s">
        <v>155</v>
      </c>
      <c r="F91" s="320">
        <v>3</v>
      </c>
      <c r="G91" s="118">
        <v>1</v>
      </c>
      <c r="H91" s="169" t="s">
        <v>156</v>
      </c>
      <c r="I91" s="329" t="s">
        <v>552</v>
      </c>
      <c r="J91" s="344">
        <v>2</v>
      </c>
      <c r="K91" s="373" t="str">
        <f>+IF(OR(ISBLANK(F91),ISBLANK(J91)),"",IF(OR(AND(F91=1,J91=1),AND(F91=1,J91=2),AND(F91=1,J91=3)),"Deficiencia de control mayor (diseño y ejecución)",IF(OR(AND(F91=2,J91=2),AND(F91=3,J91=1),AND(F91=3,J91=2),AND(F91=2,J91=1)),"Deficiencia de control (diseño o ejecución)",IF(AND(F91=2,J91=3),"Oportunidad de mejora","Mantenimiento del control"))))</f>
        <v>Deficiencia de control (diseño o ejecución)</v>
      </c>
      <c r="L91" s="357">
        <f>+IF(K91="",0,IF(K91="Deficiencia de control mayor (diseño y ejecución)",4,IF(K91="Deficiencia de control (diseño o ejecución)",20,IF(K91="Oportunidad de mejora",40,60))))</f>
        <v>20</v>
      </c>
      <c r="M91" s="357">
        <v>0.15698000000000001</v>
      </c>
      <c r="N91" s="299">
        <f>+L91+M91</f>
        <v>20.156980000000001</v>
      </c>
      <c r="O91" s="310"/>
    </row>
    <row r="92" spans="2:15" ht="30" customHeight="1" x14ac:dyDescent="0.3">
      <c r="B92" s="336"/>
      <c r="C92" s="336"/>
      <c r="D92" s="318"/>
      <c r="E92" s="342"/>
      <c r="F92" s="321"/>
      <c r="G92" s="115">
        <v>2</v>
      </c>
      <c r="H92" s="164" t="s">
        <v>157</v>
      </c>
      <c r="I92" s="330"/>
      <c r="J92" s="345"/>
      <c r="K92" s="374"/>
      <c r="L92" s="357"/>
      <c r="M92" s="357"/>
      <c r="N92" s="299"/>
      <c r="O92" s="310"/>
    </row>
    <row r="93" spans="2:15" ht="30" customHeight="1" x14ac:dyDescent="0.3">
      <c r="B93" s="336"/>
      <c r="C93" s="336"/>
      <c r="D93" s="318"/>
      <c r="E93" s="342"/>
      <c r="F93" s="321"/>
      <c r="G93" s="115">
        <v>3</v>
      </c>
      <c r="H93" s="220" t="s">
        <v>550</v>
      </c>
      <c r="I93" s="330"/>
      <c r="J93" s="345"/>
      <c r="K93" s="374"/>
      <c r="L93" s="357"/>
      <c r="M93" s="357"/>
      <c r="N93" s="299"/>
      <c r="O93" s="310"/>
    </row>
    <row r="94" spans="2:15" ht="30" customHeight="1" x14ac:dyDescent="0.3">
      <c r="B94" s="336"/>
      <c r="C94" s="336"/>
      <c r="D94" s="318"/>
      <c r="E94" s="342"/>
      <c r="F94" s="321"/>
      <c r="G94" s="115">
        <v>4</v>
      </c>
      <c r="H94" s="155"/>
      <c r="I94" s="330"/>
      <c r="J94" s="345"/>
      <c r="K94" s="374"/>
      <c r="L94" s="357"/>
      <c r="M94" s="357"/>
      <c r="N94" s="299"/>
      <c r="O94" s="310"/>
    </row>
    <row r="95" spans="2:15" ht="30" customHeight="1" x14ac:dyDescent="0.3">
      <c r="B95" s="336"/>
      <c r="C95" s="336"/>
      <c r="D95" s="318"/>
      <c r="E95" s="342"/>
      <c r="F95" s="321"/>
      <c r="G95" s="115">
        <v>5</v>
      </c>
      <c r="H95" s="155"/>
      <c r="I95" s="330"/>
      <c r="J95" s="345"/>
      <c r="K95" s="374"/>
      <c r="L95" s="357"/>
      <c r="M95" s="357"/>
      <c r="N95" s="299"/>
      <c r="O95" s="310"/>
    </row>
    <row r="96" spans="2:15" ht="30" customHeight="1" x14ac:dyDescent="0.3">
      <c r="B96" s="336"/>
      <c r="C96" s="336"/>
      <c r="D96" s="318"/>
      <c r="E96" s="342"/>
      <c r="F96" s="321"/>
      <c r="G96" s="115">
        <v>6</v>
      </c>
      <c r="H96" s="155"/>
      <c r="I96" s="330"/>
      <c r="J96" s="345"/>
      <c r="K96" s="374"/>
      <c r="L96" s="357"/>
      <c r="M96" s="357"/>
      <c r="N96" s="299"/>
      <c r="O96" s="310"/>
    </row>
    <row r="97" spans="2:15" ht="30" customHeight="1" x14ac:dyDescent="0.3">
      <c r="B97" s="336"/>
      <c r="C97" s="336"/>
      <c r="D97" s="318"/>
      <c r="E97" s="342"/>
      <c r="F97" s="321"/>
      <c r="G97" s="115">
        <v>7</v>
      </c>
      <c r="H97" s="155"/>
      <c r="I97" s="330"/>
      <c r="J97" s="345"/>
      <c r="K97" s="374"/>
      <c r="L97" s="357"/>
      <c r="M97" s="357"/>
      <c r="N97" s="299"/>
      <c r="O97" s="310"/>
    </row>
    <row r="98" spans="2:15" ht="30" customHeight="1" thickBot="1" x14ac:dyDescent="0.35">
      <c r="B98" s="337"/>
      <c r="C98" s="337"/>
      <c r="D98" s="319"/>
      <c r="E98" s="343"/>
      <c r="F98" s="322"/>
      <c r="G98" s="117">
        <v>8</v>
      </c>
      <c r="H98" s="156"/>
      <c r="I98" s="331"/>
      <c r="J98" s="346"/>
      <c r="K98" s="375"/>
      <c r="L98" s="357"/>
      <c r="M98" s="357"/>
      <c r="N98" s="299"/>
      <c r="O98" s="310"/>
    </row>
    <row r="99" spans="2:15" ht="23.25" customHeight="1" x14ac:dyDescent="0.3">
      <c r="B99" s="362"/>
      <c r="C99" s="367" t="s">
        <v>158</v>
      </c>
      <c r="D99" s="349" t="s">
        <v>8</v>
      </c>
      <c r="E99" s="404" t="s">
        <v>113</v>
      </c>
      <c r="F99" s="352" t="s">
        <v>114</v>
      </c>
      <c r="G99" s="396" t="s">
        <v>115</v>
      </c>
      <c r="H99" s="397"/>
      <c r="I99" s="398"/>
      <c r="J99" s="352" t="s">
        <v>116</v>
      </c>
      <c r="K99" s="376" t="s">
        <v>143</v>
      </c>
      <c r="L99" s="358"/>
      <c r="M99" s="358"/>
      <c r="N99" s="308"/>
      <c r="O99" s="311"/>
    </row>
    <row r="100" spans="2:15" ht="42" customHeight="1" x14ac:dyDescent="0.3">
      <c r="B100" s="362"/>
      <c r="C100" s="367"/>
      <c r="D100" s="350"/>
      <c r="E100" s="405"/>
      <c r="F100" s="352"/>
      <c r="G100" s="354" t="s">
        <v>13</v>
      </c>
      <c r="H100" s="409" t="s">
        <v>15</v>
      </c>
      <c r="I100" s="399" t="s">
        <v>17</v>
      </c>
      <c r="J100" s="352"/>
      <c r="K100" s="376"/>
      <c r="L100" s="358"/>
      <c r="M100" s="358"/>
      <c r="N100" s="308"/>
      <c r="O100" s="311"/>
    </row>
    <row r="101" spans="2:15" ht="87.75" customHeight="1" thickBot="1" x14ac:dyDescent="0.35">
      <c r="B101" s="363"/>
      <c r="C101" s="368"/>
      <c r="D101" s="351"/>
      <c r="E101" s="400"/>
      <c r="F101" s="353"/>
      <c r="G101" s="355"/>
      <c r="H101" s="399"/>
      <c r="I101" s="400"/>
      <c r="J101" s="353"/>
      <c r="K101" s="377"/>
      <c r="L101" s="358"/>
      <c r="M101" s="358"/>
      <c r="N101" s="308"/>
      <c r="O101" s="311"/>
    </row>
    <row r="102" spans="2:15" ht="36" customHeight="1" x14ac:dyDescent="0.3">
      <c r="B102" s="335" t="str">
        <f>+LEFT(C102,3)</f>
        <v>3.1</v>
      </c>
      <c r="C102" s="335" t="s">
        <v>159</v>
      </c>
      <c r="D102" s="338" t="s">
        <v>160</v>
      </c>
      <c r="E102" s="341" t="s">
        <v>506</v>
      </c>
      <c r="F102" s="320">
        <v>3</v>
      </c>
      <c r="G102" s="118">
        <v>1</v>
      </c>
      <c r="H102" s="220" t="s">
        <v>496</v>
      </c>
      <c r="I102" s="329" t="s">
        <v>559</v>
      </c>
      <c r="J102" s="344">
        <v>3</v>
      </c>
      <c r="K102" s="373" t="str">
        <f>+IF(OR(ISBLANK(F102),ISBLANK(J102)),"",IF(OR(AND(F102=1,J102=1),AND(F102=1,J102=2),AND(F102=1,J102=3)),"Deficiencia de control mayor (diseño y ejecución)",IF(OR(AND(F102=2,J102=2),AND(F102=3,J102=1),AND(F102=3,J102=2),AND(F102=2,J102=1)),"Deficiencia de control (diseño o ejecución)",IF(AND(F102=2,J102=3),"Oportunidad de mejora","Mantenimiento del control"))))</f>
        <v>Mantenimiento del control</v>
      </c>
      <c r="L102" s="357">
        <f>+IF(K102="",0,IF(K102="Deficiencia de control mayor (diseño y ejecución)",4,IF(K102="Deficiencia de control (diseño o ejecución)",20,IF(K102="Oportunidad de mejora",40,60))))</f>
        <v>60</v>
      </c>
      <c r="M102" s="357">
        <v>0.28965000000000002</v>
      </c>
      <c r="N102" s="299">
        <f>+L102+M102</f>
        <v>60.289650000000002</v>
      </c>
      <c r="O102" s="310"/>
    </row>
    <row r="103" spans="2:15" ht="32.25" customHeight="1" x14ac:dyDescent="0.3">
      <c r="B103" s="336"/>
      <c r="C103" s="336"/>
      <c r="D103" s="339"/>
      <c r="E103" s="342"/>
      <c r="F103" s="321"/>
      <c r="G103" s="115">
        <v>2</v>
      </c>
      <c r="H103" s="220" t="s">
        <v>553</v>
      </c>
      <c r="I103" s="390"/>
      <c r="J103" s="345"/>
      <c r="K103" s="374"/>
      <c r="L103" s="357"/>
      <c r="M103" s="357"/>
      <c r="N103" s="299"/>
      <c r="O103" s="310"/>
    </row>
    <row r="104" spans="2:15" ht="30" customHeight="1" x14ac:dyDescent="0.3">
      <c r="B104" s="336"/>
      <c r="C104" s="336"/>
      <c r="D104" s="339"/>
      <c r="E104" s="342"/>
      <c r="F104" s="321"/>
      <c r="G104" s="115">
        <v>3</v>
      </c>
      <c r="H104" s="220" t="s">
        <v>543</v>
      </c>
      <c r="I104" s="390"/>
      <c r="J104" s="345"/>
      <c r="K104" s="374"/>
      <c r="L104" s="357"/>
      <c r="M104" s="357"/>
      <c r="N104" s="299"/>
      <c r="O104" s="310"/>
    </row>
    <row r="105" spans="2:15" ht="30" customHeight="1" x14ac:dyDescent="0.3">
      <c r="B105" s="336"/>
      <c r="C105" s="336"/>
      <c r="D105" s="339"/>
      <c r="E105" s="342"/>
      <c r="F105" s="321"/>
      <c r="G105" s="115">
        <v>4</v>
      </c>
      <c r="H105" s="182" t="s">
        <v>544</v>
      </c>
      <c r="I105" s="390"/>
      <c r="J105" s="345"/>
      <c r="K105" s="374"/>
      <c r="L105" s="357"/>
      <c r="M105" s="357"/>
      <c r="N105" s="299"/>
      <c r="O105" s="310"/>
    </row>
    <row r="106" spans="2:15" ht="30" customHeight="1" x14ac:dyDescent="0.3">
      <c r="B106" s="336"/>
      <c r="C106" s="336"/>
      <c r="D106" s="339"/>
      <c r="E106" s="342"/>
      <c r="F106" s="321"/>
      <c r="G106" s="115">
        <v>5</v>
      </c>
      <c r="H106" s="170" t="s">
        <v>161</v>
      </c>
      <c r="I106" s="390"/>
      <c r="J106" s="345"/>
      <c r="K106" s="374"/>
      <c r="L106" s="357"/>
      <c r="M106" s="357"/>
      <c r="N106" s="299"/>
      <c r="O106" s="310"/>
    </row>
    <row r="107" spans="2:15" ht="30" customHeight="1" x14ac:dyDescent="0.3">
      <c r="B107" s="336"/>
      <c r="C107" s="336"/>
      <c r="D107" s="339"/>
      <c r="E107" s="342"/>
      <c r="F107" s="321"/>
      <c r="G107" s="115">
        <v>6</v>
      </c>
      <c r="H107" s="155"/>
      <c r="I107" s="390"/>
      <c r="J107" s="345"/>
      <c r="K107" s="374"/>
      <c r="L107" s="357"/>
      <c r="M107" s="357"/>
      <c r="N107" s="299"/>
      <c r="O107" s="310"/>
    </row>
    <row r="108" spans="2:15" ht="30" customHeight="1" x14ac:dyDescent="0.3">
      <c r="B108" s="336"/>
      <c r="C108" s="336"/>
      <c r="D108" s="339"/>
      <c r="E108" s="342"/>
      <c r="F108" s="321"/>
      <c r="G108" s="115">
        <v>7</v>
      </c>
      <c r="H108" s="155"/>
      <c r="I108" s="390"/>
      <c r="J108" s="345"/>
      <c r="K108" s="374"/>
      <c r="L108" s="357"/>
      <c r="M108" s="357"/>
      <c r="N108" s="299"/>
      <c r="O108" s="310"/>
    </row>
    <row r="109" spans="2:15" ht="30" customHeight="1" thickBot="1" x14ac:dyDescent="0.35">
      <c r="B109" s="337"/>
      <c r="C109" s="337"/>
      <c r="D109" s="340"/>
      <c r="E109" s="343"/>
      <c r="F109" s="322"/>
      <c r="G109" s="117">
        <v>8</v>
      </c>
      <c r="H109" s="156"/>
      <c r="I109" s="391"/>
      <c r="J109" s="346"/>
      <c r="K109" s="375"/>
      <c r="L109" s="357"/>
      <c r="M109" s="357"/>
      <c r="N109" s="299"/>
      <c r="O109" s="310"/>
    </row>
    <row r="110" spans="2:15" ht="36.75" customHeight="1" x14ac:dyDescent="0.3">
      <c r="B110" s="335" t="str">
        <f>+LEFT(C110,3)</f>
        <v>3.2</v>
      </c>
      <c r="C110" s="432" t="s">
        <v>162</v>
      </c>
      <c r="D110" s="338" t="s">
        <v>163</v>
      </c>
      <c r="E110" s="300" t="s">
        <v>555</v>
      </c>
      <c r="F110" s="320">
        <v>3</v>
      </c>
      <c r="G110" s="118">
        <v>1</v>
      </c>
      <c r="H110" s="220" t="s">
        <v>496</v>
      </c>
      <c r="I110" s="329" t="s">
        <v>558</v>
      </c>
      <c r="J110" s="344">
        <v>3</v>
      </c>
      <c r="K110" s="373" t="str">
        <f>+IF(OR(ISBLANK(F110),ISBLANK(J110)),"",IF(OR(AND(F110=1,J110=1),AND(F110=1,J110=2),AND(F110=1,J110=3)),"Deficiencia de control mayor (diseño y ejecución)",IF(OR(AND(F110=2,J110=2),AND(F110=3,J110=1),AND(F110=3,J110=2),AND(F110=2,J110=1)),"Deficiencia de control (diseño o ejecución)",IF(AND(F110=2,J110=3),"Oportunidad de mejora","Mantenimiento del control"))))</f>
        <v>Mantenimiento del control</v>
      </c>
      <c r="L110" s="357">
        <f>+IF(K110="",0,IF(K110="Deficiencia de control mayor (diseño y ejecución)",4,IF(K110="Deficiencia de control (diseño o ejecución)",20,IF(K110="Oportunidad de mejora",40,60))))</f>
        <v>60</v>
      </c>
      <c r="M110" s="357">
        <v>0.38965300000000003</v>
      </c>
      <c r="N110" s="299">
        <f>+L110+M110</f>
        <v>60.389653000000003</v>
      </c>
      <c r="O110" s="310"/>
    </row>
    <row r="111" spans="2:15" ht="33.75" customHeight="1" x14ac:dyDescent="0.3">
      <c r="B111" s="336"/>
      <c r="C111" s="433"/>
      <c r="D111" s="339"/>
      <c r="E111" s="301"/>
      <c r="F111" s="321"/>
      <c r="G111" s="115">
        <v>2</v>
      </c>
      <c r="H111" s="220" t="s">
        <v>553</v>
      </c>
      <c r="I111" s="330"/>
      <c r="J111" s="345"/>
      <c r="K111" s="374"/>
      <c r="L111" s="357"/>
      <c r="M111" s="357"/>
      <c r="N111" s="299"/>
      <c r="O111" s="310"/>
    </row>
    <row r="112" spans="2:15" ht="30" customHeight="1" x14ac:dyDescent="0.3">
      <c r="B112" s="336"/>
      <c r="C112" s="433"/>
      <c r="D112" s="339"/>
      <c r="E112" s="301"/>
      <c r="F112" s="321"/>
      <c r="G112" s="115">
        <v>3</v>
      </c>
      <c r="H112" s="220" t="s">
        <v>543</v>
      </c>
      <c r="I112" s="330"/>
      <c r="J112" s="345"/>
      <c r="K112" s="374"/>
      <c r="L112" s="357"/>
      <c r="M112" s="357"/>
      <c r="N112" s="299"/>
      <c r="O112" s="310"/>
    </row>
    <row r="113" spans="2:15" ht="30" customHeight="1" x14ac:dyDescent="0.3">
      <c r="B113" s="336"/>
      <c r="C113" s="433"/>
      <c r="D113" s="339"/>
      <c r="E113" s="301"/>
      <c r="F113" s="321"/>
      <c r="G113" s="115">
        <v>4</v>
      </c>
      <c r="H113" s="182" t="s">
        <v>544</v>
      </c>
      <c r="I113" s="330"/>
      <c r="J113" s="345"/>
      <c r="K113" s="374"/>
      <c r="L113" s="357"/>
      <c r="M113" s="357"/>
      <c r="N113" s="299"/>
      <c r="O113" s="310"/>
    </row>
    <row r="114" spans="2:15" ht="30" customHeight="1" x14ac:dyDescent="0.3">
      <c r="B114" s="336"/>
      <c r="C114" s="433"/>
      <c r="D114" s="339"/>
      <c r="E114" s="301"/>
      <c r="F114" s="321"/>
      <c r="G114" s="115">
        <v>5</v>
      </c>
      <c r="H114" s="170" t="s">
        <v>557</v>
      </c>
      <c r="I114" s="330"/>
      <c r="J114" s="345"/>
      <c r="K114" s="374"/>
      <c r="L114" s="357"/>
      <c r="M114" s="357"/>
      <c r="N114" s="299"/>
      <c r="O114" s="310"/>
    </row>
    <row r="115" spans="2:15" ht="30" customHeight="1" x14ac:dyDescent="0.3">
      <c r="B115" s="336"/>
      <c r="C115" s="433"/>
      <c r="D115" s="339"/>
      <c r="E115" s="301"/>
      <c r="F115" s="321"/>
      <c r="G115" s="115">
        <v>6</v>
      </c>
      <c r="H115" s="164"/>
      <c r="I115" s="330"/>
      <c r="J115" s="345"/>
      <c r="K115" s="374"/>
      <c r="L115" s="357"/>
      <c r="M115" s="357"/>
      <c r="N115" s="299"/>
      <c r="O115" s="310"/>
    </row>
    <row r="116" spans="2:15" ht="30" customHeight="1" x14ac:dyDescent="0.3">
      <c r="B116" s="336"/>
      <c r="C116" s="433"/>
      <c r="D116" s="339"/>
      <c r="E116" s="301"/>
      <c r="F116" s="321"/>
      <c r="G116" s="115">
        <v>7</v>
      </c>
      <c r="H116" s="155"/>
      <c r="I116" s="330"/>
      <c r="J116" s="345"/>
      <c r="K116" s="374"/>
      <c r="L116" s="357"/>
      <c r="M116" s="357"/>
      <c r="N116" s="299"/>
      <c r="O116" s="310"/>
    </row>
    <row r="117" spans="2:15" ht="30" customHeight="1" thickBot="1" x14ac:dyDescent="0.35">
      <c r="B117" s="337"/>
      <c r="C117" s="434"/>
      <c r="D117" s="340"/>
      <c r="E117" s="302"/>
      <c r="F117" s="322"/>
      <c r="G117" s="117">
        <v>8</v>
      </c>
      <c r="H117" s="156"/>
      <c r="I117" s="331"/>
      <c r="J117" s="346"/>
      <c r="K117" s="375"/>
      <c r="L117" s="357"/>
      <c r="M117" s="357"/>
      <c r="N117" s="299"/>
      <c r="O117" s="310"/>
    </row>
    <row r="118" spans="2:15" ht="30" customHeight="1" x14ac:dyDescent="0.3">
      <c r="B118" s="335" t="str">
        <f>+LEFT(C118,3)</f>
        <v>3.3</v>
      </c>
      <c r="C118" s="432" t="s">
        <v>164</v>
      </c>
      <c r="D118" s="317" t="s">
        <v>165</v>
      </c>
      <c r="E118" s="300" t="s">
        <v>560</v>
      </c>
      <c r="F118" s="323">
        <v>3</v>
      </c>
      <c r="G118" s="118">
        <v>1</v>
      </c>
      <c r="H118" s="220" t="s">
        <v>543</v>
      </c>
      <c r="I118" s="329" t="s">
        <v>166</v>
      </c>
      <c r="J118" s="429">
        <v>3</v>
      </c>
      <c r="K118" s="373" t="str">
        <f>+IF(OR(ISBLANK(F118),ISBLANK(J118)),"",IF(OR(AND(F118=1,J118=1),AND(F118=1,J118=2),AND(F118=1,J118=3)),"Deficiencia de control mayor (diseño y ejecución)",IF(OR(AND(F118=2,J118=2),AND(F118=3,J118=1),AND(F118=3,J118=2),AND(F118=2,J118=1)),"Deficiencia de control (diseño o ejecución)",IF(AND(F118=2,J118=3),"Oportunidad de mejora","Mantenimiento del control"))))</f>
        <v>Mantenimiento del control</v>
      </c>
      <c r="L118" s="357">
        <f>+IF(K118="",0,IF(K118="Deficiencia de control mayor (diseño y ejecución)",4,IF(K118="Deficiencia de control (diseño o ejecución)",20,IF(K118="Oportunidad de mejora",40,60))))</f>
        <v>60</v>
      </c>
      <c r="M118" s="357">
        <v>0.48964999999999997</v>
      </c>
      <c r="N118" s="299">
        <f>+L118+M118</f>
        <v>60.489649999999997</v>
      </c>
      <c r="O118" s="310"/>
    </row>
    <row r="119" spans="2:15" ht="30" customHeight="1" x14ac:dyDescent="0.3">
      <c r="B119" s="336"/>
      <c r="C119" s="433"/>
      <c r="D119" s="318"/>
      <c r="E119" s="301"/>
      <c r="F119" s="324"/>
      <c r="G119" s="115">
        <v>2</v>
      </c>
      <c r="H119" s="182" t="s">
        <v>544</v>
      </c>
      <c r="I119" s="330"/>
      <c r="J119" s="430"/>
      <c r="K119" s="374"/>
      <c r="L119" s="357"/>
      <c r="M119" s="357"/>
      <c r="N119" s="299"/>
      <c r="O119" s="310"/>
    </row>
    <row r="120" spans="2:15" ht="30" customHeight="1" x14ac:dyDescent="0.3">
      <c r="B120" s="336"/>
      <c r="C120" s="433"/>
      <c r="D120" s="318"/>
      <c r="E120" s="301"/>
      <c r="F120" s="324"/>
      <c r="G120" s="115">
        <v>3</v>
      </c>
      <c r="H120" s="218" t="s">
        <v>556</v>
      </c>
      <c r="I120" s="330"/>
      <c r="J120" s="430"/>
      <c r="K120" s="374"/>
      <c r="L120" s="357"/>
      <c r="M120" s="357"/>
      <c r="N120" s="299"/>
      <c r="O120" s="310"/>
    </row>
    <row r="121" spans="2:15" ht="40.5" customHeight="1" x14ac:dyDescent="0.3">
      <c r="B121" s="336"/>
      <c r="C121" s="433"/>
      <c r="D121" s="318"/>
      <c r="E121" s="301"/>
      <c r="F121" s="324"/>
      <c r="G121" s="115">
        <v>4</v>
      </c>
      <c r="H121" s="220" t="s">
        <v>496</v>
      </c>
      <c r="I121" s="330"/>
      <c r="J121" s="430"/>
      <c r="K121" s="374"/>
      <c r="L121" s="357"/>
      <c r="M121" s="357"/>
      <c r="N121" s="299"/>
      <c r="O121" s="310"/>
    </row>
    <row r="122" spans="2:15" ht="30" customHeight="1" x14ac:dyDescent="0.3">
      <c r="B122" s="336"/>
      <c r="C122" s="433"/>
      <c r="D122" s="318"/>
      <c r="E122" s="301"/>
      <c r="F122" s="324"/>
      <c r="G122" s="115">
        <v>5</v>
      </c>
      <c r="H122" s="220" t="s">
        <v>553</v>
      </c>
      <c r="I122" s="330"/>
      <c r="J122" s="430"/>
      <c r="K122" s="374"/>
      <c r="L122" s="357"/>
      <c r="M122" s="357"/>
      <c r="N122" s="299"/>
      <c r="O122" s="310"/>
    </row>
    <row r="123" spans="2:15" ht="30" customHeight="1" x14ac:dyDescent="0.3">
      <c r="B123" s="336"/>
      <c r="C123" s="433"/>
      <c r="D123" s="318"/>
      <c r="E123" s="301"/>
      <c r="F123" s="324"/>
      <c r="G123" s="115">
        <v>6</v>
      </c>
      <c r="H123" s="155"/>
      <c r="I123" s="330"/>
      <c r="J123" s="430"/>
      <c r="K123" s="374"/>
      <c r="L123" s="357"/>
      <c r="M123" s="357"/>
      <c r="N123" s="299"/>
      <c r="O123" s="310"/>
    </row>
    <row r="124" spans="2:15" ht="30" customHeight="1" x14ac:dyDescent="0.3">
      <c r="B124" s="336"/>
      <c r="C124" s="433"/>
      <c r="D124" s="318"/>
      <c r="E124" s="301"/>
      <c r="F124" s="324"/>
      <c r="G124" s="115">
        <v>7</v>
      </c>
      <c r="H124" s="155"/>
      <c r="I124" s="330"/>
      <c r="J124" s="430"/>
      <c r="K124" s="374"/>
      <c r="L124" s="357"/>
      <c r="M124" s="357"/>
      <c r="N124" s="299"/>
      <c r="O124" s="310"/>
    </row>
    <row r="125" spans="2:15" ht="30" customHeight="1" thickBot="1" x14ac:dyDescent="0.35">
      <c r="B125" s="337"/>
      <c r="C125" s="434"/>
      <c r="D125" s="319"/>
      <c r="E125" s="302"/>
      <c r="F125" s="325"/>
      <c r="G125" s="117">
        <v>8</v>
      </c>
      <c r="H125" s="156"/>
      <c r="I125" s="331"/>
      <c r="J125" s="431"/>
      <c r="K125" s="375"/>
      <c r="L125" s="357"/>
      <c r="M125" s="357"/>
      <c r="N125" s="299"/>
      <c r="O125" s="310"/>
    </row>
    <row r="126" spans="2:15" ht="27.75" customHeight="1" x14ac:dyDescent="0.3">
      <c r="B126" s="360"/>
      <c r="C126" s="347" t="s">
        <v>167</v>
      </c>
      <c r="D126" s="349" t="s">
        <v>8</v>
      </c>
      <c r="E126" s="404" t="s">
        <v>113</v>
      </c>
      <c r="F126" s="352" t="s">
        <v>114</v>
      </c>
      <c r="G126" s="396" t="s">
        <v>115</v>
      </c>
      <c r="H126" s="397"/>
      <c r="I126" s="398"/>
      <c r="J126" s="352" t="s">
        <v>116</v>
      </c>
      <c r="K126" s="378" t="s">
        <v>143</v>
      </c>
      <c r="L126" s="358"/>
      <c r="M126" s="358"/>
      <c r="N126" s="308"/>
      <c r="O126" s="311"/>
    </row>
    <row r="127" spans="2:15" ht="66" customHeight="1" x14ac:dyDescent="0.3">
      <c r="B127" s="361"/>
      <c r="C127" s="348"/>
      <c r="D127" s="350"/>
      <c r="E127" s="405"/>
      <c r="F127" s="352"/>
      <c r="G127" s="354" t="s">
        <v>13</v>
      </c>
      <c r="H127" s="409" t="s">
        <v>15</v>
      </c>
      <c r="I127" s="399" t="s">
        <v>17</v>
      </c>
      <c r="J127" s="352"/>
      <c r="K127" s="376"/>
      <c r="L127" s="358"/>
      <c r="M127" s="358"/>
      <c r="N127" s="308"/>
      <c r="O127" s="311"/>
    </row>
    <row r="128" spans="2:15" ht="14.25" customHeight="1" thickBot="1" x14ac:dyDescent="0.35">
      <c r="B128" s="361"/>
      <c r="C128" s="348"/>
      <c r="D128" s="351"/>
      <c r="E128" s="400"/>
      <c r="F128" s="353"/>
      <c r="G128" s="355"/>
      <c r="H128" s="399"/>
      <c r="I128" s="400"/>
      <c r="J128" s="353"/>
      <c r="K128" s="377"/>
      <c r="L128" s="358"/>
      <c r="M128" s="358"/>
      <c r="N128" s="308"/>
      <c r="O128" s="311"/>
    </row>
    <row r="129" spans="2:15" ht="21" customHeight="1" x14ac:dyDescent="0.3">
      <c r="B129" s="335" t="str">
        <f>+LEFT(C129,3)</f>
        <v>4.1</v>
      </c>
      <c r="C129" s="335" t="s">
        <v>168</v>
      </c>
      <c r="D129" s="317" t="s">
        <v>169</v>
      </c>
      <c r="E129" s="341" t="s">
        <v>569</v>
      </c>
      <c r="F129" s="320">
        <v>3</v>
      </c>
      <c r="G129" s="118">
        <v>1</v>
      </c>
      <c r="H129" s="169" t="s">
        <v>170</v>
      </c>
      <c r="I129" s="329" t="s">
        <v>568</v>
      </c>
      <c r="J129" s="323">
        <v>3</v>
      </c>
      <c r="K129" s="356" t="str">
        <f>+IF(OR(ISBLANK(F129),ISBLANK(J129)),"",IF(OR(AND(F129=1,J129=1),AND(F129=1,J129=2),AND(F129=1,J129=3)),"Deficiencia de control mayor (diseño y ejecución)",IF(OR(AND(F129=2,J129=2),AND(F129=3,J129=1),AND(F129=3,J129=2),AND(F129=2,J129=1)),"Deficiencia de control (diseño o ejecución)",IF(AND(F129=2,J129=3),"Oportunidad de mejora","Mantenimiento del control"))))</f>
        <v>Mantenimiento del control</v>
      </c>
      <c r="L129" s="357">
        <f>+IF(K129="",0,IF(K129="Deficiencia de control mayor (diseño y ejecución)",4,IF(K129="Deficiencia de control (diseño o ejecución)",20,IF(K129="Oportunidad de mejora",40,60))))</f>
        <v>60</v>
      </c>
      <c r="M129" s="357">
        <v>0.58965000000000001</v>
      </c>
      <c r="N129" s="299">
        <f>+L129+M129</f>
        <v>60.589649999999999</v>
      </c>
      <c r="O129" s="310"/>
    </row>
    <row r="130" spans="2:15" ht="19.5" customHeight="1" x14ac:dyDescent="0.3">
      <c r="B130" s="336"/>
      <c r="C130" s="336"/>
      <c r="D130" s="318"/>
      <c r="E130" s="342"/>
      <c r="F130" s="321"/>
      <c r="G130" s="115">
        <v>2</v>
      </c>
      <c r="H130" s="225" t="s">
        <v>161</v>
      </c>
      <c r="I130" s="330"/>
      <c r="J130" s="324"/>
      <c r="K130" s="356"/>
      <c r="L130" s="357"/>
      <c r="M130" s="357"/>
      <c r="N130" s="299"/>
      <c r="O130" s="310"/>
    </row>
    <row r="131" spans="2:15" ht="24" customHeight="1" x14ac:dyDescent="0.3">
      <c r="B131" s="336"/>
      <c r="C131" s="336"/>
      <c r="D131" s="318"/>
      <c r="E131" s="342"/>
      <c r="F131" s="321"/>
      <c r="G131" s="115">
        <v>3</v>
      </c>
      <c r="H131" s="225" t="s">
        <v>174</v>
      </c>
      <c r="I131" s="330"/>
      <c r="J131" s="324"/>
      <c r="K131" s="356"/>
      <c r="L131" s="357"/>
      <c r="M131" s="357"/>
      <c r="N131" s="299"/>
      <c r="O131" s="310"/>
    </row>
    <row r="132" spans="2:15" ht="33" x14ac:dyDescent="0.3">
      <c r="B132" s="336"/>
      <c r="C132" s="336"/>
      <c r="D132" s="318"/>
      <c r="E132" s="342"/>
      <c r="F132" s="321"/>
      <c r="G132" s="115">
        <v>4</v>
      </c>
      <c r="H132" s="226" t="s">
        <v>497</v>
      </c>
      <c r="I132" s="330"/>
      <c r="J132" s="324"/>
      <c r="K132" s="356"/>
      <c r="L132" s="357"/>
      <c r="M132" s="357"/>
      <c r="N132" s="299"/>
      <c r="O132" s="310"/>
    </row>
    <row r="133" spans="2:15" ht="21" customHeight="1" x14ac:dyDescent="0.3">
      <c r="B133" s="336"/>
      <c r="C133" s="336"/>
      <c r="D133" s="318"/>
      <c r="E133" s="342"/>
      <c r="F133" s="321"/>
      <c r="G133" s="115">
        <v>5</v>
      </c>
      <c r="H133" s="225" t="s">
        <v>562</v>
      </c>
      <c r="I133" s="330"/>
      <c r="J133" s="324"/>
      <c r="K133" s="356"/>
      <c r="L133" s="357"/>
      <c r="M133" s="357"/>
      <c r="N133" s="299"/>
      <c r="O133" s="310"/>
    </row>
    <row r="134" spans="2:15" ht="46.5" customHeight="1" x14ac:dyDescent="0.3">
      <c r="B134" s="336"/>
      <c r="C134" s="336"/>
      <c r="D134" s="318"/>
      <c r="E134" s="342"/>
      <c r="F134" s="321"/>
      <c r="G134" s="115">
        <v>6</v>
      </c>
      <c r="H134" s="226" t="s">
        <v>563</v>
      </c>
      <c r="I134" s="330"/>
      <c r="J134" s="324"/>
      <c r="K134" s="356"/>
      <c r="L134" s="357"/>
      <c r="M134" s="357"/>
      <c r="N134" s="299"/>
      <c r="O134" s="310"/>
    </row>
    <row r="135" spans="2:15" ht="21" customHeight="1" x14ac:dyDescent="0.3">
      <c r="B135" s="336"/>
      <c r="C135" s="336"/>
      <c r="D135" s="318"/>
      <c r="E135" s="342"/>
      <c r="F135" s="321"/>
      <c r="G135" s="115">
        <v>7</v>
      </c>
      <c r="H135" s="226" t="s">
        <v>561</v>
      </c>
      <c r="I135" s="330"/>
      <c r="J135" s="324"/>
      <c r="K135" s="356"/>
      <c r="L135" s="357"/>
      <c r="M135" s="357"/>
      <c r="N135" s="299"/>
      <c r="O135" s="310"/>
    </row>
    <row r="136" spans="2:15" ht="150.75" customHeight="1" thickBot="1" x14ac:dyDescent="0.35">
      <c r="B136" s="337"/>
      <c r="C136" s="337"/>
      <c r="D136" s="319"/>
      <c r="E136" s="343"/>
      <c r="F136" s="322"/>
      <c r="G136" s="117">
        <v>8</v>
      </c>
      <c r="H136" s="156"/>
      <c r="I136" s="331"/>
      <c r="J136" s="325"/>
      <c r="K136" s="356"/>
      <c r="L136" s="357"/>
      <c r="M136" s="357"/>
      <c r="N136" s="299"/>
      <c r="O136" s="310"/>
    </row>
    <row r="137" spans="2:15" ht="33" customHeight="1" x14ac:dyDescent="0.3">
      <c r="B137" s="335" t="str">
        <f>+LEFT(C137,3)</f>
        <v>4.2</v>
      </c>
      <c r="C137" s="335" t="s">
        <v>171</v>
      </c>
      <c r="D137" s="317" t="s">
        <v>169</v>
      </c>
      <c r="E137" s="341" t="s">
        <v>567</v>
      </c>
      <c r="F137" s="320">
        <v>3</v>
      </c>
      <c r="G137" s="118">
        <v>1</v>
      </c>
      <c r="H137" s="169" t="s">
        <v>170</v>
      </c>
      <c r="I137" s="329" t="s">
        <v>564</v>
      </c>
      <c r="J137" s="323">
        <v>3</v>
      </c>
      <c r="K137" s="356" t="str">
        <f>+IF(OR(ISBLANK(F137),ISBLANK(J137)),"",IF(OR(AND(F137=1,J137=1),AND(F137=1,J137=2),AND(F137=1,J137=3)),"Deficiencia de control mayor (diseño y ejecución)",IF(OR(AND(F137=2,J137=2),AND(F137=3,J137=1),AND(F137=3,J137=2),AND(F137=2,J137=1)),"Deficiencia de control (diseño o ejecución)",IF(AND(F137=2,J137=3),"Oportunidad de mejora","Mantenimiento del control"))))</f>
        <v>Mantenimiento del control</v>
      </c>
      <c r="L137" s="357">
        <f>+IF(K137="",0,IF(K137="Deficiencia de control mayor (diseño y ejecución)",4,IF(K137="Deficiencia de control (diseño o ejecución)",20,IF(K137="Oportunidad de mejora",40,60))))</f>
        <v>60</v>
      </c>
      <c r="M137" s="357">
        <v>0.68964999999999999</v>
      </c>
      <c r="N137" s="299">
        <f>+L137+M137</f>
        <v>60.68965</v>
      </c>
      <c r="O137" s="310"/>
    </row>
    <row r="138" spans="2:15" ht="21" customHeight="1" x14ac:dyDescent="0.3">
      <c r="B138" s="336"/>
      <c r="C138" s="336"/>
      <c r="D138" s="318"/>
      <c r="E138" s="423"/>
      <c r="F138" s="321"/>
      <c r="G138" s="115">
        <v>2</v>
      </c>
      <c r="H138" s="170" t="s">
        <v>161</v>
      </c>
      <c r="I138" s="330"/>
      <c r="J138" s="324"/>
      <c r="K138" s="356"/>
      <c r="L138" s="357"/>
      <c r="M138" s="357"/>
      <c r="N138" s="299"/>
      <c r="O138" s="310"/>
    </row>
    <row r="139" spans="2:15" ht="16.5" x14ac:dyDescent="0.3">
      <c r="B139" s="336"/>
      <c r="C139" s="336"/>
      <c r="D139" s="318"/>
      <c r="E139" s="423"/>
      <c r="F139" s="321"/>
      <c r="G139" s="115">
        <v>3</v>
      </c>
      <c r="H139" s="209" t="s">
        <v>174</v>
      </c>
      <c r="I139" s="330"/>
      <c r="J139" s="324"/>
      <c r="K139" s="356"/>
      <c r="L139" s="357"/>
      <c r="M139" s="357"/>
      <c r="N139" s="299"/>
      <c r="O139" s="310"/>
    </row>
    <row r="140" spans="2:15" ht="33" x14ac:dyDescent="0.3">
      <c r="B140" s="336"/>
      <c r="C140" s="336"/>
      <c r="D140" s="318"/>
      <c r="E140" s="423"/>
      <c r="F140" s="321"/>
      <c r="G140" s="115">
        <v>4</v>
      </c>
      <c r="H140" s="210" t="s">
        <v>497</v>
      </c>
      <c r="I140" s="330"/>
      <c r="J140" s="324"/>
      <c r="K140" s="356"/>
      <c r="L140" s="357"/>
      <c r="M140" s="357"/>
      <c r="N140" s="299"/>
      <c r="O140" s="310"/>
    </row>
    <row r="141" spans="2:15" ht="33" x14ac:dyDescent="0.3">
      <c r="B141" s="336"/>
      <c r="C141" s="336"/>
      <c r="D141" s="318"/>
      <c r="E141" s="423"/>
      <c r="F141" s="321"/>
      <c r="G141" s="115">
        <v>5</v>
      </c>
      <c r="H141" s="210" t="s">
        <v>498</v>
      </c>
      <c r="I141" s="330"/>
      <c r="J141" s="324"/>
      <c r="K141" s="356"/>
      <c r="L141" s="357"/>
      <c r="M141" s="357"/>
      <c r="N141" s="299"/>
      <c r="O141" s="310"/>
    </row>
    <row r="142" spans="2:15" ht="21" customHeight="1" x14ac:dyDescent="0.3">
      <c r="B142" s="336"/>
      <c r="C142" s="336"/>
      <c r="D142" s="318"/>
      <c r="E142" s="423"/>
      <c r="F142" s="321"/>
      <c r="G142" s="115">
        <v>6</v>
      </c>
      <c r="H142" s="226" t="s">
        <v>561</v>
      </c>
      <c r="I142" s="330"/>
      <c r="J142" s="324"/>
      <c r="K142" s="356"/>
      <c r="L142" s="357"/>
      <c r="M142" s="357"/>
      <c r="N142" s="299"/>
      <c r="O142" s="310"/>
    </row>
    <row r="143" spans="2:15" ht="21" customHeight="1" x14ac:dyDescent="0.3">
      <c r="B143" s="336"/>
      <c r="C143" s="336"/>
      <c r="D143" s="318"/>
      <c r="E143" s="423"/>
      <c r="F143" s="321"/>
      <c r="G143" s="115">
        <v>7</v>
      </c>
      <c r="H143" s="155"/>
      <c r="I143" s="330"/>
      <c r="J143" s="324"/>
      <c r="K143" s="356"/>
      <c r="L143" s="357"/>
      <c r="M143" s="357"/>
      <c r="N143" s="299"/>
      <c r="O143" s="310"/>
    </row>
    <row r="144" spans="2:15" ht="21" customHeight="1" thickBot="1" x14ac:dyDescent="0.35">
      <c r="B144" s="337"/>
      <c r="C144" s="337"/>
      <c r="D144" s="319"/>
      <c r="E144" s="424"/>
      <c r="F144" s="322"/>
      <c r="G144" s="117">
        <v>8</v>
      </c>
      <c r="H144" s="156"/>
      <c r="I144" s="331"/>
      <c r="J144" s="325"/>
      <c r="K144" s="356"/>
      <c r="L144" s="357"/>
      <c r="M144" s="357"/>
      <c r="N144" s="299"/>
      <c r="O144" s="310"/>
    </row>
    <row r="145" spans="2:15" ht="21" customHeight="1" x14ac:dyDescent="0.3">
      <c r="B145" s="335" t="str">
        <f>+LEFT(C145,3)</f>
        <v>4.3</v>
      </c>
      <c r="C145" s="335" t="s">
        <v>172</v>
      </c>
      <c r="D145" s="317" t="s">
        <v>169</v>
      </c>
      <c r="E145" s="300" t="s">
        <v>173</v>
      </c>
      <c r="F145" s="323">
        <v>3</v>
      </c>
      <c r="G145" s="118">
        <v>1</v>
      </c>
      <c r="H145" s="169" t="s">
        <v>170</v>
      </c>
      <c r="I145" s="329" t="s">
        <v>565</v>
      </c>
      <c r="J145" s="323">
        <v>3</v>
      </c>
      <c r="K145" s="356" t="str">
        <f>+IF(OR(ISBLANK(F145),ISBLANK(J145)),"",IF(OR(AND(F145=1,J145=1),AND(F145=1,J145=2),AND(F145=1,J145=3)),"Deficiencia de control mayor (diseño y ejecución)",IF(OR(AND(F145=2,J145=2),AND(F145=3,J145=1),AND(F145=3,J145=2),AND(F145=2,J145=1)),"Deficiencia de control (diseño o ejecución)",IF(AND(F145=2,J145=3),"Oportunidad de mejora","Mantenimiento del control"))))</f>
        <v>Mantenimiento del control</v>
      </c>
      <c r="L145" s="357">
        <f>+IF(K145="",0,IF(K145="Deficiencia de control mayor (diseño y ejecución)",4,IF(K145="Deficiencia de control (diseño o ejecución)",20,IF(K145="Oportunidad de mejora",40,60))))</f>
        <v>60</v>
      </c>
      <c r="M145" s="357">
        <v>0.78964999999999996</v>
      </c>
      <c r="N145" s="299">
        <f>+L145+M145</f>
        <v>60.789650000000002</v>
      </c>
      <c r="O145" s="310"/>
    </row>
    <row r="146" spans="2:15" ht="21" customHeight="1" x14ac:dyDescent="0.3">
      <c r="B146" s="336"/>
      <c r="C146" s="336"/>
      <c r="D146" s="318"/>
      <c r="E146" s="301"/>
      <c r="F146" s="324"/>
      <c r="G146" s="115">
        <v>2</v>
      </c>
      <c r="H146" s="170" t="s">
        <v>174</v>
      </c>
      <c r="I146" s="330"/>
      <c r="J146" s="324"/>
      <c r="K146" s="356"/>
      <c r="L146" s="357"/>
      <c r="M146" s="357"/>
      <c r="N146" s="299"/>
      <c r="O146" s="310"/>
    </row>
    <row r="147" spans="2:15" ht="21" customHeight="1" x14ac:dyDescent="0.3">
      <c r="B147" s="336"/>
      <c r="C147" s="336"/>
      <c r="D147" s="318"/>
      <c r="E147" s="301"/>
      <c r="F147" s="324"/>
      <c r="G147" s="115">
        <v>3</v>
      </c>
      <c r="H147" s="170" t="s">
        <v>175</v>
      </c>
      <c r="I147" s="330"/>
      <c r="J147" s="324"/>
      <c r="K147" s="356"/>
      <c r="L147" s="357"/>
      <c r="M147" s="357"/>
      <c r="N147" s="299"/>
      <c r="O147" s="310"/>
    </row>
    <row r="148" spans="2:15" ht="33" x14ac:dyDescent="0.3">
      <c r="B148" s="336"/>
      <c r="C148" s="336"/>
      <c r="D148" s="318"/>
      <c r="E148" s="301"/>
      <c r="F148" s="324"/>
      <c r="G148" s="115">
        <v>4</v>
      </c>
      <c r="H148" s="226" t="s">
        <v>561</v>
      </c>
      <c r="I148" s="330"/>
      <c r="J148" s="324"/>
      <c r="K148" s="356"/>
      <c r="L148" s="357"/>
      <c r="M148" s="357"/>
      <c r="N148" s="299"/>
      <c r="O148" s="310"/>
    </row>
    <row r="149" spans="2:15" ht="16.5" x14ac:dyDescent="0.3">
      <c r="B149" s="336"/>
      <c r="C149" s="336"/>
      <c r="D149" s="318"/>
      <c r="E149" s="301"/>
      <c r="F149" s="324"/>
      <c r="G149" s="115">
        <v>5</v>
      </c>
      <c r="H149" s="210"/>
      <c r="I149" s="330"/>
      <c r="J149" s="324"/>
      <c r="K149" s="356"/>
      <c r="L149" s="357"/>
      <c r="M149" s="357"/>
      <c r="N149" s="299"/>
      <c r="O149" s="310"/>
    </row>
    <row r="150" spans="2:15" ht="21" customHeight="1" x14ac:dyDescent="0.3">
      <c r="B150" s="336"/>
      <c r="C150" s="336"/>
      <c r="D150" s="318"/>
      <c r="E150" s="301"/>
      <c r="F150" s="324"/>
      <c r="G150" s="115">
        <v>6</v>
      </c>
      <c r="H150" s="155"/>
      <c r="I150" s="330"/>
      <c r="J150" s="324"/>
      <c r="K150" s="356"/>
      <c r="L150" s="357"/>
      <c r="M150" s="357"/>
      <c r="N150" s="299"/>
      <c r="O150" s="310"/>
    </row>
    <row r="151" spans="2:15" ht="21" customHeight="1" x14ac:dyDescent="0.3">
      <c r="B151" s="336"/>
      <c r="C151" s="336"/>
      <c r="D151" s="318"/>
      <c r="E151" s="301"/>
      <c r="F151" s="324"/>
      <c r="G151" s="115">
        <v>7</v>
      </c>
      <c r="H151" s="155"/>
      <c r="I151" s="330"/>
      <c r="J151" s="324"/>
      <c r="K151" s="356"/>
      <c r="L151" s="357"/>
      <c r="M151" s="357"/>
      <c r="N151" s="299"/>
      <c r="O151" s="310"/>
    </row>
    <row r="152" spans="2:15" ht="21" customHeight="1" thickBot="1" x14ac:dyDescent="0.35">
      <c r="B152" s="337"/>
      <c r="C152" s="337"/>
      <c r="D152" s="319"/>
      <c r="E152" s="302"/>
      <c r="F152" s="325"/>
      <c r="G152" s="117">
        <v>8</v>
      </c>
      <c r="H152" s="156"/>
      <c r="I152" s="331"/>
      <c r="J152" s="325"/>
      <c r="K152" s="356"/>
      <c r="L152" s="357"/>
      <c r="M152" s="357"/>
      <c r="N152" s="299"/>
      <c r="O152" s="310"/>
    </row>
    <row r="153" spans="2:15" ht="33" x14ac:dyDescent="0.3">
      <c r="B153" s="335" t="str">
        <f>+LEFT(C153,3)</f>
        <v>4.4</v>
      </c>
      <c r="C153" s="335" t="s">
        <v>176</v>
      </c>
      <c r="D153" s="317" t="s">
        <v>169</v>
      </c>
      <c r="E153" s="341" t="s">
        <v>177</v>
      </c>
      <c r="F153" s="323">
        <v>3</v>
      </c>
      <c r="G153" s="118">
        <v>1</v>
      </c>
      <c r="H153" s="208" t="s">
        <v>499</v>
      </c>
      <c r="I153" s="329" t="s">
        <v>566</v>
      </c>
      <c r="J153" s="323">
        <v>3</v>
      </c>
      <c r="K153" s="356" t="str">
        <f>+IF(OR(ISBLANK(F153),ISBLANK(J153)),"",IF(OR(AND(F153=1,J153=1),AND(F153=1,J153=2),AND(F153=1,J153=3)),"Deficiencia de control mayor (diseño y ejecución)",IF(OR(AND(F153=2,J153=2),AND(F153=3,J153=1),AND(F153=3,J153=2),AND(F153=2,J153=1)),"Deficiencia de control (diseño o ejecución)",IF(AND(F153=2,J153=3),"Oportunidad de mejora","Mantenimiento del control"))))</f>
        <v>Mantenimiento del control</v>
      </c>
      <c r="L153" s="357">
        <f>+IF(K153="",0,IF(K153="Deficiencia de control mayor (diseño y ejecución)",4,IF(K153="Deficiencia de control (diseño o ejecución)",20,IF(K153="Oportunidad de mejora",40,60))))</f>
        <v>60</v>
      </c>
      <c r="M153" s="357">
        <v>0.88965000000000005</v>
      </c>
      <c r="N153" s="299">
        <f>+L153+M153</f>
        <v>60.889650000000003</v>
      </c>
      <c r="O153" s="310"/>
    </row>
    <row r="154" spans="2:15" ht="23.25" customHeight="1" x14ac:dyDescent="0.3">
      <c r="B154" s="336"/>
      <c r="C154" s="336"/>
      <c r="D154" s="318"/>
      <c r="E154" s="342"/>
      <c r="F154" s="324"/>
      <c r="G154" s="115">
        <v>2</v>
      </c>
      <c r="H154" s="170" t="s">
        <v>170</v>
      </c>
      <c r="I154" s="330"/>
      <c r="J154" s="324"/>
      <c r="K154" s="356"/>
      <c r="L154" s="357"/>
      <c r="M154" s="357"/>
      <c r="N154" s="299"/>
      <c r="O154" s="310"/>
    </row>
    <row r="155" spans="2:15" ht="21" customHeight="1" x14ac:dyDescent="0.3">
      <c r="B155" s="336"/>
      <c r="C155" s="336"/>
      <c r="D155" s="318"/>
      <c r="E155" s="342"/>
      <c r="F155" s="324"/>
      <c r="G155" s="115">
        <v>3</v>
      </c>
      <c r="H155" s="226" t="s">
        <v>561</v>
      </c>
      <c r="I155" s="330"/>
      <c r="J155" s="324"/>
      <c r="K155" s="356"/>
      <c r="L155" s="357"/>
      <c r="M155" s="357"/>
      <c r="N155" s="299"/>
      <c r="O155" s="310"/>
    </row>
    <row r="156" spans="2:15" ht="21" customHeight="1" x14ac:dyDescent="0.3">
      <c r="B156" s="336"/>
      <c r="C156" s="336"/>
      <c r="D156" s="318"/>
      <c r="E156" s="342"/>
      <c r="F156" s="324"/>
      <c r="G156" s="115">
        <v>4</v>
      </c>
      <c r="H156" s="155"/>
      <c r="I156" s="330"/>
      <c r="J156" s="324"/>
      <c r="K156" s="356"/>
      <c r="L156" s="357"/>
      <c r="M156" s="357"/>
      <c r="N156" s="299"/>
      <c r="O156" s="310"/>
    </row>
    <row r="157" spans="2:15" ht="21" customHeight="1" x14ac:dyDescent="0.3">
      <c r="B157" s="336"/>
      <c r="C157" s="336"/>
      <c r="D157" s="318"/>
      <c r="E157" s="342"/>
      <c r="F157" s="324"/>
      <c r="G157" s="115">
        <v>5</v>
      </c>
      <c r="H157" s="155"/>
      <c r="I157" s="330"/>
      <c r="J157" s="324"/>
      <c r="K157" s="356"/>
      <c r="L157" s="357"/>
      <c r="M157" s="357"/>
      <c r="N157" s="299"/>
      <c r="O157" s="310"/>
    </row>
    <row r="158" spans="2:15" ht="21" customHeight="1" x14ac:dyDescent="0.3">
      <c r="B158" s="336"/>
      <c r="C158" s="336"/>
      <c r="D158" s="318"/>
      <c r="E158" s="342"/>
      <c r="F158" s="324"/>
      <c r="G158" s="115">
        <v>6</v>
      </c>
      <c r="H158" s="155"/>
      <c r="I158" s="330"/>
      <c r="J158" s="324"/>
      <c r="K158" s="356"/>
      <c r="L158" s="357"/>
      <c r="M158" s="357"/>
      <c r="N158" s="299"/>
      <c r="O158" s="310"/>
    </row>
    <row r="159" spans="2:15" ht="21" customHeight="1" x14ac:dyDescent="0.3">
      <c r="B159" s="336"/>
      <c r="C159" s="336"/>
      <c r="D159" s="318"/>
      <c r="E159" s="342"/>
      <c r="F159" s="324"/>
      <c r="G159" s="115">
        <v>7</v>
      </c>
      <c r="H159" s="155"/>
      <c r="I159" s="330"/>
      <c r="J159" s="324"/>
      <c r="K159" s="356"/>
      <c r="L159" s="357"/>
      <c r="M159" s="357"/>
      <c r="N159" s="299"/>
      <c r="O159" s="310"/>
    </row>
    <row r="160" spans="2:15" ht="21" customHeight="1" thickBot="1" x14ac:dyDescent="0.35">
      <c r="B160" s="337"/>
      <c r="C160" s="337"/>
      <c r="D160" s="319"/>
      <c r="E160" s="343"/>
      <c r="F160" s="325"/>
      <c r="G160" s="117">
        <v>8</v>
      </c>
      <c r="H160" s="156"/>
      <c r="I160" s="331"/>
      <c r="J160" s="325"/>
      <c r="K160" s="356"/>
      <c r="L160" s="357"/>
      <c r="M160" s="357"/>
      <c r="N160" s="299"/>
      <c r="O160" s="310"/>
    </row>
    <row r="161" spans="2:15" ht="21" customHeight="1" x14ac:dyDescent="0.3">
      <c r="B161" s="335" t="str">
        <f>+LEFT(C161,3)</f>
        <v>4.5</v>
      </c>
      <c r="C161" s="335" t="s">
        <v>178</v>
      </c>
      <c r="D161" s="317" t="s">
        <v>169</v>
      </c>
      <c r="E161" s="300" t="s">
        <v>572</v>
      </c>
      <c r="F161" s="323">
        <v>3</v>
      </c>
      <c r="G161" s="118">
        <v>1</v>
      </c>
      <c r="H161" s="169" t="s">
        <v>170</v>
      </c>
      <c r="I161" s="329" t="s">
        <v>570</v>
      </c>
      <c r="J161" s="323">
        <v>3</v>
      </c>
      <c r="K161" s="356" t="str">
        <f>+IF(OR(ISBLANK(F161),ISBLANK(J161)),"",IF(OR(AND(F161=1,J161=1),AND(F161=1,J161=2),AND(F161=1,J161=3)),"Deficiencia de control mayor (diseño y ejecución)",IF(OR(AND(F161=2,J161=2),AND(F161=3,J161=1),AND(F161=3,J161=2),AND(F161=2,J161=1)),"Deficiencia de control (diseño o ejecución)",IF(AND(F161=2,J161=3),"Oportunidad de mejora","Mantenimiento del control"))))</f>
        <v>Mantenimiento del control</v>
      </c>
      <c r="L161" s="357">
        <f>+IF(K161="",0,IF(K161="Deficiencia de control mayor (diseño y ejecución)",4,IF(K161="Deficiencia de control (diseño o ejecución)",20,IF(K161="Oportunidad de mejora",40,60))))</f>
        <v>60</v>
      </c>
      <c r="M161" s="357">
        <v>0.98965000000000003</v>
      </c>
      <c r="N161" s="306">
        <f>+L161+M161</f>
        <v>60.989649999999997</v>
      </c>
      <c r="O161" s="312"/>
    </row>
    <row r="162" spans="2:15" ht="22.5" customHeight="1" thickBot="1" x14ac:dyDescent="0.35">
      <c r="B162" s="336"/>
      <c r="C162" s="336"/>
      <c r="D162" s="318"/>
      <c r="E162" s="301"/>
      <c r="F162" s="324"/>
      <c r="G162" s="115">
        <v>2</v>
      </c>
      <c r="H162" s="170" t="s">
        <v>161</v>
      </c>
      <c r="I162" s="330"/>
      <c r="J162" s="324"/>
      <c r="K162" s="356"/>
      <c r="L162" s="357"/>
      <c r="M162" s="357"/>
      <c r="N162" s="306"/>
      <c r="O162" s="312"/>
    </row>
    <row r="163" spans="2:15" ht="34.5" customHeight="1" x14ac:dyDescent="0.3">
      <c r="B163" s="336"/>
      <c r="C163" s="336"/>
      <c r="D163" s="318"/>
      <c r="E163" s="301"/>
      <c r="F163" s="324"/>
      <c r="G163" s="115">
        <v>3</v>
      </c>
      <c r="H163" s="224" t="s">
        <v>571</v>
      </c>
      <c r="I163" s="330"/>
      <c r="J163" s="324"/>
      <c r="K163" s="356"/>
      <c r="L163" s="357"/>
      <c r="M163" s="357"/>
      <c r="N163" s="306"/>
      <c r="O163" s="312"/>
    </row>
    <row r="164" spans="2:15" ht="21" customHeight="1" x14ac:dyDescent="0.3">
      <c r="B164" s="336"/>
      <c r="C164" s="336"/>
      <c r="D164" s="318"/>
      <c r="E164" s="301"/>
      <c r="F164" s="324"/>
      <c r="G164" s="115">
        <v>4</v>
      </c>
      <c r="H164" s="155"/>
      <c r="I164" s="330"/>
      <c r="J164" s="324"/>
      <c r="K164" s="356"/>
      <c r="L164" s="357"/>
      <c r="M164" s="357"/>
      <c r="N164" s="306"/>
      <c r="O164" s="312"/>
    </row>
    <row r="165" spans="2:15" ht="21" customHeight="1" x14ac:dyDescent="0.3">
      <c r="B165" s="336"/>
      <c r="C165" s="336"/>
      <c r="D165" s="318"/>
      <c r="E165" s="301"/>
      <c r="F165" s="324"/>
      <c r="G165" s="115">
        <v>5</v>
      </c>
      <c r="H165" s="155"/>
      <c r="I165" s="330"/>
      <c r="J165" s="324"/>
      <c r="K165" s="356"/>
      <c r="L165" s="357"/>
      <c r="M165" s="357"/>
      <c r="N165" s="306"/>
      <c r="O165" s="312"/>
    </row>
    <row r="166" spans="2:15" ht="21" customHeight="1" x14ac:dyDescent="0.3">
      <c r="B166" s="336"/>
      <c r="C166" s="336"/>
      <c r="D166" s="318"/>
      <c r="E166" s="301"/>
      <c r="F166" s="324"/>
      <c r="G166" s="115">
        <v>6</v>
      </c>
      <c r="H166" s="155"/>
      <c r="I166" s="330"/>
      <c r="J166" s="324"/>
      <c r="K166" s="356"/>
      <c r="L166" s="357"/>
      <c r="M166" s="357"/>
      <c r="N166" s="306"/>
      <c r="O166" s="312"/>
    </row>
    <row r="167" spans="2:15" ht="21" customHeight="1" x14ac:dyDescent="0.3">
      <c r="B167" s="336"/>
      <c r="C167" s="336"/>
      <c r="D167" s="318"/>
      <c r="E167" s="301"/>
      <c r="F167" s="324"/>
      <c r="G167" s="115">
        <v>7</v>
      </c>
      <c r="H167" s="155"/>
      <c r="I167" s="330"/>
      <c r="J167" s="324"/>
      <c r="K167" s="356"/>
      <c r="L167" s="357"/>
      <c r="M167" s="357"/>
      <c r="N167" s="306"/>
      <c r="O167" s="312"/>
    </row>
    <row r="168" spans="2:15" ht="27.75" customHeight="1" thickBot="1" x14ac:dyDescent="0.35">
      <c r="B168" s="337"/>
      <c r="C168" s="337"/>
      <c r="D168" s="319"/>
      <c r="E168" s="302"/>
      <c r="F168" s="325"/>
      <c r="G168" s="117">
        <v>8</v>
      </c>
      <c r="H168" s="171"/>
      <c r="I168" s="331"/>
      <c r="J168" s="325"/>
      <c r="K168" s="356"/>
      <c r="L168" s="357"/>
      <c r="M168" s="357"/>
      <c r="N168" s="306"/>
      <c r="O168" s="312"/>
    </row>
    <row r="169" spans="2:15" ht="21" customHeight="1" x14ac:dyDescent="0.3">
      <c r="B169" s="335" t="str">
        <f>+LEFT(C169,3)</f>
        <v>4.6</v>
      </c>
      <c r="C169" s="314" t="s">
        <v>179</v>
      </c>
      <c r="D169" s="317" t="s">
        <v>169</v>
      </c>
      <c r="E169" s="300" t="s">
        <v>574</v>
      </c>
      <c r="F169" s="323">
        <v>3</v>
      </c>
      <c r="G169" s="118">
        <v>1</v>
      </c>
      <c r="H169" s="169" t="s">
        <v>503</v>
      </c>
      <c r="I169" s="329" t="s">
        <v>573</v>
      </c>
      <c r="J169" s="323">
        <v>3</v>
      </c>
      <c r="K169" s="332" t="str">
        <f>+IF(OR(ISBLANK(F169),ISBLANK(J169)),"",IF(OR(AND(F169=1,J169=1),AND(F169=1,J169=2),AND(F169=1,J169=3)),"Deficiencia de control mayor (diseño y ejecución)",IF(OR(AND(F169=2,J169=2),AND(F169=3,J169=1),AND(F169=3,J169=2),AND(F169=2,J169=1)),"Deficiencia de control (diseño o ejecución)",IF(AND(F169=2,J169=3),"Oportunidad de mejora","Mantenimiento del control"))))</f>
        <v>Mantenimiento del control</v>
      </c>
      <c r="L169" s="357">
        <f>+IF(K169="",0,IF(K169="Deficiencia de control mayor (diseño y ejecución)",4,IF(K169="Deficiencia de control (diseño o ejecución)",20,IF(K169="Oportunidad de mejora",40,60))))</f>
        <v>60</v>
      </c>
      <c r="M169" s="357">
        <v>0.98965199999999998</v>
      </c>
      <c r="N169" s="307">
        <f>+L169+M169</f>
        <v>60.989652</v>
      </c>
      <c r="O169" s="313"/>
    </row>
    <row r="170" spans="2:15" ht="21" customHeight="1" x14ac:dyDescent="0.3">
      <c r="B170" s="336"/>
      <c r="C170" s="315"/>
      <c r="D170" s="318"/>
      <c r="E170" s="301"/>
      <c r="F170" s="324"/>
      <c r="G170" s="115">
        <v>2</v>
      </c>
      <c r="H170" s="170" t="s">
        <v>501</v>
      </c>
      <c r="I170" s="330"/>
      <c r="J170" s="324"/>
      <c r="K170" s="333"/>
      <c r="L170" s="357"/>
      <c r="M170" s="357"/>
      <c r="N170" s="307"/>
      <c r="O170" s="313"/>
    </row>
    <row r="171" spans="2:15" ht="21" customHeight="1" x14ac:dyDescent="0.3">
      <c r="B171" s="336"/>
      <c r="C171" s="315"/>
      <c r="D171" s="318"/>
      <c r="E171" s="301"/>
      <c r="F171" s="324"/>
      <c r="G171" s="115">
        <v>3</v>
      </c>
      <c r="H171" s="155"/>
      <c r="I171" s="330"/>
      <c r="J171" s="324"/>
      <c r="K171" s="333"/>
      <c r="L171" s="357"/>
      <c r="M171" s="357"/>
      <c r="N171" s="307"/>
      <c r="O171" s="313"/>
    </row>
    <row r="172" spans="2:15" ht="21" customHeight="1" x14ac:dyDescent="0.3">
      <c r="B172" s="336"/>
      <c r="C172" s="315"/>
      <c r="D172" s="318"/>
      <c r="E172" s="301"/>
      <c r="F172" s="324"/>
      <c r="G172" s="115">
        <v>4</v>
      </c>
      <c r="H172" s="155"/>
      <c r="I172" s="330"/>
      <c r="J172" s="324"/>
      <c r="K172" s="333"/>
      <c r="L172" s="357"/>
      <c r="M172" s="357"/>
      <c r="N172" s="307"/>
      <c r="O172" s="313"/>
    </row>
    <row r="173" spans="2:15" ht="21" customHeight="1" x14ac:dyDescent="0.3">
      <c r="B173" s="336"/>
      <c r="C173" s="315"/>
      <c r="D173" s="318"/>
      <c r="E173" s="301"/>
      <c r="F173" s="324"/>
      <c r="G173" s="115">
        <v>5</v>
      </c>
      <c r="H173" s="155"/>
      <c r="I173" s="330"/>
      <c r="J173" s="324"/>
      <c r="K173" s="333"/>
      <c r="L173" s="357"/>
      <c r="M173" s="357"/>
      <c r="N173" s="307"/>
      <c r="O173" s="313"/>
    </row>
    <row r="174" spans="2:15" ht="21" customHeight="1" x14ac:dyDescent="0.3">
      <c r="B174" s="336"/>
      <c r="C174" s="315"/>
      <c r="D174" s="318"/>
      <c r="E174" s="301"/>
      <c r="F174" s="324"/>
      <c r="G174" s="115">
        <v>6</v>
      </c>
      <c r="H174" s="155"/>
      <c r="I174" s="330"/>
      <c r="J174" s="324"/>
      <c r="K174" s="333"/>
      <c r="L174" s="357"/>
      <c r="M174" s="357"/>
      <c r="N174" s="307"/>
      <c r="O174" s="313"/>
    </row>
    <row r="175" spans="2:15" ht="21" customHeight="1" x14ac:dyDescent="0.3">
      <c r="B175" s="336"/>
      <c r="C175" s="315"/>
      <c r="D175" s="318"/>
      <c r="E175" s="301"/>
      <c r="F175" s="324"/>
      <c r="G175" s="115">
        <v>7</v>
      </c>
      <c r="H175" s="155"/>
      <c r="I175" s="330"/>
      <c r="J175" s="324"/>
      <c r="K175" s="333"/>
      <c r="L175" s="357"/>
      <c r="M175" s="357"/>
      <c r="N175" s="307"/>
      <c r="O175" s="313"/>
    </row>
    <row r="176" spans="2:15" ht="21" customHeight="1" thickBot="1" x14ac:dyDescent="0.35">
      <c r="B176" s="337"/>
      <c r="C176" s="316"/>
      <c r="D176" s="319"/>
      <c r="E176" s="302"/>
      <c r="F176" s="325"/>
      <c r="G176" s="117">
        <v>8</v>
      </c>
      <c r="H176" s="156"/>
      <c r="I176" s="331"/>
      <c r="J176" s="325"/>
      <c r="K176" s="334"/>
      <c r="L176" s="357"/>
      <c r="M176" s="357"/>
      <c r="N176" s="307"/>
      <c r="O176" s="313"/>
    </row>
    <row r="177" spans="2:15" ht="33" x14ac:dyDescent="0.3">
      <c r="B177" s="335" t="str">
        <f>+LEFT(C177,3)</f>
        <v>4.7</v>
      </c>
      <c r="C177" s="401" t="s">
        <v>180</v>
      </c>
      <c r="D177" s="317" t="s">
        <v>169</v>
      </c>
      <c r="E177" s="341" t="s">
        <v>575</v>
      </c>
      <c r="F177" s="320">
        <v>3</v>
      </c>
      <c r="G177" s="118">
        <v>1</v>
      </c>
      <c r="H177" s="163" t="s">
        <v>502</v>
      </c>
      <c r="I177" s="329" t="s">
        <v>577</v>
      </c>
      <c r="J177" s="323">
        <v>3</v>
      </c>
      <c r="K177" s="379" t="str">
        <f>+IF(OR(ISBLANK(F177),ISBLANK(J177)),"",IF(OR(AND(F177=1,J177=1),AND(F177=1,J177=2),AND(F177=1,J177=3)),"Deficiencia de control mayor (diseño y ejecución)",IF(OR(AND(F177=2,J177=2),AND(F177=3,J177=1),AND(F177=3,J177=2),AND(F177=2,J177=1)),"Deficiencia de control (diseño o ejecución)",IF(AND(F177=2,J177=3),"Oportunidad de mejora","Mantenimiento del control"))))</f>
        <v>Mantenimiento del control</v>
      </c>
      <c r="L177" s="357">
        <f>+IF(K177="",0,IF(K177="Deficiencia de control mayor (diseño y ejecución)",4,IF(K177="Deficiencia de control (diseño o ejecución)",20,IF(K177="Oportunidad de mejora",40,60))))</f>
        <v>60</v>
      </c>
      <c r="M177" s="357">
        <v>1.8962300000000001</v>
      </c>
      <c r="N177" s="299">
        <f>+L177+M177</f>
        <v>61.896230000000003</v>
      </c>
      <c r="O177" s="310"/>
    </row>
    <row r="178" spans="2:15" ht="21" customHeight="1" x14ac:dyDescent="0.3">
      <c r="B178" s="336"/>
      <c r="C178" s="402"/>
      <c r="D178" s="318"/>
      <c r="E178" s="342"/>
      <c r="F178" s="321"/>
      <c r="G178" s="115">
        <v>2</v>
      </c>
      <c r="H178" s="164" t="s">
        <v>576</v>
      </c>
      <c r="I178" s="330"/>
      <c r="J178" s="324"/>
      <c r="K178" s="356"/>
      <c r="L178" s="357"/>
      <c r="M178" s="357"/>
      <c r="N178" s="299"/>
      <c r="O178" s="310"/>
    </row>
    <row r="179" spans="2:15" ht="16.5" x14ac:dyDescent="0.3">
      <c r="B179" s="336"/>
      <c r="C179" s="402"/>
      <c r="D179" s="318"/>
      <c r="E179" s="342"/>
      <c r="F179" s="321"/>
      <c r="G179" s="115">
        <v>3</v>
      </c>
      <c r="H179" s="164" t="s">
        <v>578</v>
      </c>
      <c r="I179" s="330"/>
      <c r="J179" s="324"/>
      <c r="K179" s="356"/>
      <c r="L179" s="357"/>
      <c r="M179" s="357"/>
      <c r="N179" s="299"/>
      <c r="O179" s="310"/>
    </row>
    <row r="180" spans="2:15" ht="30" customHeight="1" x14ac:dyDescent="0.3">
      <c r="B180" s="336"/>
      <c r="C180" s="402"/>
      <c r="D180" s="318"/>
      <c r="E180" s="342"/>
      <c r="F180" s="321"/>
      <c r="G180" s="115">
        <v>4</v>
      </c>
      <c r="H180" s="226" t="s">
        <v>182</v>
      </c>
      <c r="I180" s="330"/>
      <c r="J180" s="324"/>
      <c r="K180" s="356"/>
      <c r="L180" s="357"/>
      <c r="M180" s="357"/>
      <c r="N180" s="299"/>
      <c r="O180" s="310"/>
    </row>
    <row r="181" spans="2:15" ht="46.5" customHeight="1" x14ac:dyDescent="0.3">
      <c r="B181" s="336"/>
      <c r="C181" s="402"/>
      <c r="D181" s="318"/>
      <c r="E181" s="342"/>
      <c r="F181" s="321"/>
      <c r="G181" s="115">
        <v>5</v>
      </c>
      <c r="H181" s="226" t="s">
        <v>579</v>
      </c>
      <c r="I181" s="330"/>
      <c r="J181" s="324"/>
      <c r="K181" s="356"/>
      <c r="L181" s="357"/>
      <c r="M181" s="357"/>
      <c r="N181" s="299"/>
      <c r="O181" s="310"/>
    </row>
    <row r="182" spans="2:15" ht="21" customHeight="1" x14ac:dyDescent="0.3">
      <c r="B182" s="336"/>
      <c r="C182" s="402"/>
      <c r="D182" s="318"/>
      <c r="E182" s="342"/>
      <c r="F182" s="321"/>
      <c r="G182" s="115">
        <v>6</v>
      </c>
      <c r="H182" s="155"/>
      <c r="I182" s="330"/>
      <c r="J182" s="324"/>
      <c r="K182" s="356"/>
      <c r="L182" s="357"/>
      <c r="M182" s="357"/>
      <c r="N182" s="299"/>
      <c r="O182" s="310"/>
    </row>
    <row r="183" spans="2:15" ht="21" customHeight="1" x14ac:dyDescent="0.3">
      <c r="B183" s="336"/>
      <c r="C183" s="402"/>
      <c r="D183" s="318"/>
      <c r="E183" s="342"/>
      <c r="F183" s="321"/>
      <c r="G183" s="115">
        <v>7</v>
      </c>
      <c r="H183" s="155"/>
      <c r="I183" s="330"/>
      <c r="J183" s="324"/>
      <c r="K183" s="356"/>
      <c r="L183" s="357"/>
      <c r="M183" s="357"/>
      <c r="N183" s="299"/>
      <c r="O183" s="310"/>
    </row>
    <row r="184" spans="2:15" ht="21" customHeight="1" thickBot="1" x14ac:dyDescent="0.35">
      <c r="B184" s="337"/>
      <c r="C184" s="403"/>
      <c r="D184" s="319"/>
      <c r="E184" s="343"/>
      <c r="F184" s="322"/>
      <c r="G184" s="117">
        <v>8</v>
      </c>
      <c r="H184" s="156"/>
      <c r="I184" s="331"/>
      <c r="J184" s="325"/>
      <c r="K184" s="356"/>
      <c r="L184" s="357"/>
      <c r="M184" s="357"/>
      <c r="N184" s="299"/>
      <c r="O184" s="310"/>
    </row>
    <row r="185" spans="2:15" ht="34.5" customHeight="1" x14ac:dyDescent="0.3">
      <c r="B185" s="360"/>
      <c r="C185" s="347" t="s">
        <v>183</v>
      </c>
      <c r="D185" s="349" t="s">
        <v>8</v>
      </c>
      <c r="E185" s="404" t="s">
        <v>113</v>
      </c>
      <c r="F185" s="352" t="s">
        <v>114</v>
      </c>
      <c r="G185" s="396" t="s">
        <v>115</v>
      </c>
      <c r="H185" s="397"/>
      <c r="I185" s="398"/>
      <c r="J185" s="352" t="s">
        <v>116</v>
      </c>
      <c r="K185" s="376" t="s">
        <v>143</v>
      </c>
      <c r="L185" s="358"/>
      <c r="M185" s="358"/>
      <c r="N185" s="308"/>
      <c r="O185" s="311"/>
    </row>
    <row r="186" spans="2:15" ht="57" customHeight="1" x14ac:dyDescent="0.3">
      <c r="B186" s="361"/>
      <c r="C186" s="348"/>
      <c r="D186" s="350"/>
      <c r="E186" s="405"/>
      <c r="F186" s="352"/>
      <c r="G186" s="354" t="s">
        <v>13</v>
      </c>
      <c r="H186" s="409" t="s">
        <v>15</v>
      </c>
      <c r="I186" s="399" t="s">
        <v>17</v>
      </c>
      <c r="J186" s="352"/>
      <c r="K186" s="376"/>
      <c r="L186" s="358"/>
      <c r="M186" s="358"/>
      <c r="N186" s="308"/>
      <c r="O186" s="311"/>
    </row>
    <row r="187" spans="2:15" ht="24" customHeight="1" thickBot="1" x14ac:dyDescent="0.35">
      <c r="B187" s="361"/>
      <c r="C187" s="348"/>
      <c r="D187" s="351"/>
      <c r="E187" s="400"/>
      <c r="F187" s="353"/>
      <c r="G187" s="355"/>
      <c r="H187" s="399"/>
      <c r="I187" s="400"/>
      <c r="J187" s="353"/>
      <c r="K187" s="377"/>
      <c r="L187" s="358"/>
      <c r="M187" s="358"/>
      <c r="N187" s="308"/>
      <c r="O187" s="311"/>
    </row>
    <row r="188" spans="2:15" ht="30" customHeight="1" x14ac:dyDescent="0.3">
      <c r="B188" s="335" t="str">
        <f>+LEFT(C188,3)</f>
        <v>5.1</v>
      </c>
      <c r="C188" s="335" t="s">
        <v>184</v>
      </c>
      <c r="D188" s="317" t="s">
        <v>185</v>
      </c>
      <c r="E188" s="406" t="s">
        <v>586</v>
      </c>
      <c r="F188" s="320">
        <v>3</v>
      </c>
      <c r="G188" s="118">
        <v>1</v>
      </c>
      <c r="H188" s="163" t="s">
        <v>186</v>
      </c>
      <c r="I188" s="329" t="s">
        <v>582</v>
      </c>
      <c r="J188" s="323">
        <v>3</v>
      </c>
      <c r="K188" s="356" t="str">
        <f>+IF(OR(ISBLANK(F188),ISBLANK(J188)),"",IF(OR(AND(F188=1,J188=1),AND(F188=1,J188=2),AND(F188=1,J188=3)),"Deficiencia de control mayor (diseño y ejecución)",IF(OR(AND(F188=2,J188=2),AND(F188=3,J188=1),AND(F188=3,J188=2),AND(F188=2,J188=1)),"Deficiencia de control (diseño o ejecución)",IF(AND(F188=2,J188=3),"Oportunidad de mejora","Mantenimiento del control"))))</f>
        <v>Mantenimiento del control</v>
      </c>
      <c r="L188" s="357">
        <f>+IF(K188="",0,IF(K188="Deficiencia de control mayor (diseño y ejecución)",4,IF(K188="Deficiencia de control (diseño o ejecución)",20,IF(K188="Oportunidad de mejora",40,60))))</f>
        <v>60</v>
      </c>
      <c r="M188" s="357">
        <v>1.1896</v>
      </c>
      <c r="N188" s="299">
        <f>+L188+M188</f>
        <v>61.189599999999999</v>
      </c>
      <c r="O188" s="310"/>
    </row>
    <row r="189" spans="2:15" ht="30" customHeight="1" x14ac:dyDescent="0.3">
      <c r="B189" s="336"/>
      <c r="C189" s="336"/>
      <c r="D189" s="318"/>
      <c r="E189" s="407"/>
      <c r="F189" s="321"/>
      <c r="G189" s="115">
        <v>2</v>
      </c>
      <c r="H189" s="170" t="s">
        <v>580</v>
      </c>
      <c r="I189" s="330"/>
      <c r="J189" s="324"/>
      <c r="K189" s="356"/>
      <c r="L189" s="357"/>
      <c r="M189" s="357"/>
      <c r="N189" s="299"/>
      <c r="O189" s="310"/>
    </row>
    <row r="190" spans="2:15" ht="30" customHeight="1" x14ac:dyDescent="0.3">
      <c r="B190" s="336"/>
      <c r="C190" s="336"/>
      <c r="D190" s="318"/>
      <c r="E190" s="407"/>
      <c r="F190" s="321"/>
      <c r="G190" s="115">
        <v>3</v>
      </c>
      <c r="H190" s="155"/>
      <c r="I190" s="330"/>
      <c r="J190" s="324"/>
      <c r="K190" s="356"/>
      <c r="L190" s="357"/>
      <c r="M190" s="357"/>
      <c r="N190" s="299"/>
      <c r="O190" s="310"/>
    </row>
    <row r="191" spans="2:15" ht="30" customHeight="1" x14ac:dyDescent="0.3">
      <c r="B191" s="336"/>
      <c r="C191" s="336"/>
      <c r="D191" s="318"/>
      <c r="E191" s="407"/>
      <c r="F191" s="321"/>
      <c r="G191" s="115">
        <v>4</v>
      </c>
      <c r="H191" s="155"/>
      <c r="I191" s="330"/>
      <c r="J191" s="324"/>
      <c r="K191" s="356"/>
      <c r="L191" s="357"/>
      <c r="M191" s="357"/>
      <c r="N191" s="299"/>
      <c r="O191" s="310"/>
    </row>
    <row r="192" spans="2:15" ht="30" customHeight="1" x14ac:dyDescent="0.3">
      <c r="B192" s="336"/>
      <c r="C192" s="336"/>
      <c r="D192" s="318"/>
      <c r="E192" s="407"/>
      <c r="F192" s="321"/>
      <c r="G192" s="115">
        <v>5</v>
      </c>
      <c r="H192" s="155"/>
      <c r="I192" s="330"/>
      <c r="J192" s="324"/>
      <c r="K192" s="356"/>
      <c r="L192" s="357"/>
      <c r="M192" s="357"/>
      <c r="N192" s="299"/>
      <c r="O192" s="310"/>
    </row>
    <row r="193" spans="2:15" ht="30" customHeight="1" x14ac:dyDescent="0.3">
      <c r="B193" s="336"/>
      <c r="C193" s="336"/>
      <c r="D193" s="318"/>
      <c r="E193" s="407"/>
      <c r="F193" s="321"/>
      <c r="G193" s="115">
        <v>6</v>
      </c>
      <c r="H193" s="155"/>
      <c r="I193" s="330"/>
      <c r="J193" s="324"/>
      <c r="K193" s="356"/>
      <c r="L193" s="357"/>
      <c r="M193" s="357"/>
      <c r="N193" s="299"/>
      <c r="O193" s="310"/>
    </row>
    <row r="194" spans="2:15" ht="30" customHeight="1" x14ac:dyDescent="0.3">
      <c r="B194" s="336"/>
      <c r="C194" s="336"/>
      <c r="D194" s="318"/>
      <c r="E194" s="407"/>
      <c r="F194" s="321"/>
      <c r="G194" s="115">
        <v>7</v>
      </c>
      <c r="H194" s="155"/>
      <c r="I194" s="330"/>
      <c r="J194" s="324"/>
      <c r="K194" s="356"/>
      <c r="L194" s="357"/>
      <c r="M194" s="357"/>
      <c r="N194" s="299"/>
      <c r="O194" s="310"/>
    </row>
    <row r="195" spans="2:15" ht="30" customHeight="1" thickBot="1" x14ac:dyDescent="0.35">
      <c r="B195" s="337"/>
      <c r="C195" s="337"/>
      <c r="D195" s="319"/>
      <c r="E195" s="408"/>
      <c r="F195" s="322"/>
      <c r="G195" s="117">
        <v>8</v>
      </c>
      <c r="H195" s="156"/>
      <c r="I195" s="331"/>
      <c r="J195" s="325"/>
      <c r="K195" s="356"/>
      <c r="L195" s="357"/>
      <c r="M195" s="357"/>
      <c r="N195" s="299"/>
      <c r="O195" s="310"/>
    </row>
    <row r="196" spans="2:15" ht="30" customHeight="1" x14ac:dyDescent="0.3">
      <c r="B196" s="335" t="str">
        <f>+LEFT(C196,3)</f>
        <v>5.2</v>
      </c>
      <c r="C196" s="335" t="s">
        <v>187</v>
      </c>
      <c r="D196" s="317" t="s">
        <v>188</v>
      </c>
      <c r="E196" s="303" t="s">
        <v>585</v>
      </c>
      <c r="F196" s="323">
        <v>3</v>
      </c>
      <c r="G196" s="118">
        <v>1</v>
      </c>
      <c r="H196" s="169" t="s">
        <v>189</v>
      </c>
      <c r="I196" s="329" t="s">
        <v>581</v>
      </c>
      <c r="J196" s="323">
        <v>3</v>
      </c>
      <c r="K196" s="356" t="str">
        <f>+IF(OR(ISBLANK(F196),ISBLANK(J196)),"",IF(OR(AND(F196=1,J196=1),AND(F196=1,J196=2),AND(F196=1,J196=3)),"Deficiencia de control mayor (diseño y ejecución)",IF(OR(AND(F196=2,J196=2),AND(F196=3,J196=1),AND(F196=3,J196=2),AND(F196=2,J196=1)),"Deficiencia de control (diseño o ejecución)",IF(AND(F196=2,J196=3),"Oportunidad de mejora","Mantenimiento del control"))))</f>
        <v>Mantenimiento del control</v>
      </c>
      <c r="L196" s="357">
        <f>+IF(K196="",0,IF(K196="Deficiencia de control mayor (diseño y ejecución)",4,IF(K196="Deficiencia de control (diseño o ejecución)",20,IF(K196="Oportunidad de mejora",40,60))))</f>
        <v>60</v>
      </c>
      <c r="M196" s="357">
        <v>1.28965</v>
      </c>
      <c r="N196" s="299">
        <f>+L196+M196</f>
        <v>61.289650000000002</v>
      </c>
      <c r="O196" s="310"/>
    </row>
    <row r="197" spans="2:15" ht="30" customHeight="1" thickBot="1" x14ac:dyDescent="0.35">
      <c r="B197" s="336"/>
      <c r="C197" s="336"/>
      <c r="D197" s="318"/>
      <c r="E197" s="304"/>
      <c r="F197" s="324"/>
      <c r="G197" s="115">
        <v>2</v>
      </c>
      <c r="H197" s="170" t="s">
        <v>583</v>
      </c>
      <c r="I197" s="330"/>
      <c r="J197" s="324"/>
      <c r="K197" s="356"/>
      <c r="L197" s="357"/>
      <c r="M197" s="357"/>
      <c r="N197" s="299"/>
      <c r="O197" s="310"/>
    </row>
    <row r="198" spans="2:15" ht="30" customHeight="1" x14ac:dyDescent="0.3">
      <c r="B198" s="336"/>
      <c r="C198" s="336"/>
      <c r="D198" s="318"/>
      <c r="E198" s="304"/>
      <c r="F198" s="324"/>
      <c r="G198" s="115">
        <v>3</v>
      </c>
      <c r="H198" s="227" t="s">
        <v>584</v>
      </c>
      <c r="I198" s="330"/>
      <c r="J198" s="324"/>
      <c r="K198" s="356"/>
      <c r="L198" s="357"/>
      <c r="M198" s="357"/>
      <c r="N198" s="299"/>
      <c r="O198" s="310"/>
    </row>
    <row r="199" spans="2:15" ht="30" customHeight="1" x14ac:dyDescent="0.3">
      <c r="B199" s="336"/>
      <c r="C199" s="336"/>
      <c r="D199" s="318"/>
      <c r="E199" s="304"/>
      <c r="F199" s="324"/>
      <c r="G199" s="115">
        <v>4</v>
      </c>
      <c r="H199" s="155"/>
      <c r="I199" s="330"/>
      <c r="J199" s="324"/>
      <c r="K199" s="356"/>
      <c r="L199" s="357"/>
      <c r="M199" s="357"/>
      <c r="N199" s="299"/>
      <c r="O199" s="310"/>
    </row>
    <row r="200" spans="2:15" ht="30" customHeight="1" x14ac:dyDescent="0.3">
      <c r="B200" s="336"/>
      <c r="C200" s="336"/>
      <c r="D200" s="318"/>
      <c r="E200" s="304"/>
      <c r="F200" s="324"/>
      <c r="G200" s="115">
        <v>5</v>
      </c>
      <c r="H200" s="155"/>
      <c r="I200" s="330"/>
      <c r="J200" s="324"/>
      <c r="K200" s="356"/>
      <c r="L200" s="357"/>
      <c r="M200" s="357"/>
      <c r="N200" s="299"/>
      <c r="O200" s="310"/>
    </row>
    <row r="201" spans="2:15" ht="30" customHeight="1" x14ac:dyDescent="0.3">
      <c r="B201" s="336"/>
      <c r="C201" s="336"/>
      <c r="D201" s="318"/>
      <c r="E201" s="304"/>
      <c r="F201" s="324"/>
      <c r="G201" s="115">
        <v>6</v>
      </c>
      <c r="H201" s="155"/>
      <c r="I201" s="330"/>
      <c r="J201" s="324"/>
      <c r="K201" s="356"/>
      <c r="L201" s="357"/>
      <c r="M201" s="357"/>
      <c r="N201" s="299"/>
      <c r="O201" s="310"/>
    </row>
    <row r="202" spans="2:15" ht="30" customHeight="1" x14ac:dyDescent="0.3">
      <c r="B202" s="336"/>
      <c r="C202" s="336"/>
      <c r="D202" s="318"/>
      <c r="E202" s="304"/>
      <c r="F202" s="324"/>
      <c r="G202" s="115">
        <v>7</v>
      </c>
      <c r="H202" s="155"/>
      <c r="I202" s="330"/>
      <c r="J202" s="324"/>
      <c r="K202" s="356"/>
      <c r="L202" s="357"/>
      <c r="M202" s="357"/>
      <c r="N202" s="299"/>
      <c r="O202" s="310"/>
    </row>
    <row r="203" spans="2:15" ht="30" customHeight="1" thickBot="1" x14ac:dyDescent="0.35">
      <c r="B203" s="337"/>
      <c r="C203" s="337"/>
      <c r="D203" s="319"/>
      <c r="E203" s="305"/>
      <c r="F203" s="325"/>
      <c r="G203" s="117">
        <v>8</v>
      </c>
      <c r="H203" s="156"/>
      <c r="I203" s="331"/>
      <c r="J203" s="325"/>
      <c r="K203" s="356"/>
      <c r="L203" s="357"/>
      <c r="M203" s="357"/>
      <c r="N203" s="299"/>
      <c r="O203" s="310"/>
    </row>
    <row r="204" spans="2:15" ht="98.25" customHeight="1" thickBot="1" x14ac:dyDescent="0.35">
      <c r="B204" s="335" t="str">
        <f>+LEFT(C204,3)</f>
        <v>5.3</v>
      </c>
      <c r="C204" s="335" t="s">
        <v>190</v>
      </c>
      <c r="D204" s="317" t="s">
        <v>191</v>
      </c>
      <c r="E204" s="303" t="s">
        <v>588</v>
      </c>
      <c r="F204" s="323">
        <v>3</v>
      </c>
      <c r="G204" s="118">
        <v>1</v>
      </c>
      <c r="H204" s="163" t="s">
        <v>589</v>
      </c>
      <c r="I204" s="329" t="s">
        <v>587</v>
      </c>
      <c r="J204" s="323">
        <v>3</v>
      </c>
      <c r="K204" s="356" t="str">
        <f>+IF(OR(ISBLANK(F204),ISBLANK(J204)),"",IF(OR(AND(F204=1,J204=1),AND(F204=1,J204=2),AND(F204=1,J204=3)),"Deficiencia de control mayor (diseño y ejecución)",IF(OR(AND(F204=2,J204=2),AND(F204=3,J204=1),AND(F204=3,J204=2),AND(F204=2,J204=1)),"Deficiencia de control (diseño o ejecución)",IF(AND(F204=2,J204=3),"Oportunidad de mejora","Mantenimiento del control"))))</f>
        <v>Mantenimiento del control</v>
      </c>
      <c r="L204" s="357">
        <f>+IF(K204="",0,IF(K204="Deficiencia de control mayor (diseño y ejecución)",4,IF(K204="Deficiencia de control (diseño o ejecución)",20,IF(K204="Oportunidad de mejora",40,60))))</f>
        <v>60</v>
      </c>
      <c r="M204" s="357">
        <v>1.3896299999999999</v>
      </c>
      <c r="N204" s="299">
        <f>+L204+M204</f>
        <v>61.389629999999997</v>
      </c>
      <c r="O204" s="310"/>
    </row>
    <row r="205" spans="2:15" ht="30" customHeight="1" x14ac:dyDescent="0.3">
      <c r="B205" s="336"/>
      <c r="C205" s="336"/>
      <c r="D205" s="318"/>
      <c r="E205" s="304"/>
      <c r="F205" s="324"/>
      <c r="G205" s="115">
        <v>2</v>
      </c>
      <c r="H205" s="227" t="s">
        <v>584</v>
      </c>
      <c r="I205" s="330"/>
      <c r="J205" s="324"/>
      <c r="K205" s="356"/>
      <c r="L205" s="357"/>
      <c r="M205" s="357"/>
      <c r="N205" s="299"/>
      <c r="O205" s="310"/>
    </row>
    <row r="206" spans="2:15" ht="30" customHeight="1" x14ac:dyDescent="0.3">
      <c r="B206" s="336"/>
      <c r="C206" s="336"/>
      <c r="D206" s="318"/>
      <c r="E206" s="304"/>
      <c r="F206" s="324"/>
      <c r="G206" s="115">
        <v>3</v>
      </c>
      <c r="H206" s="155"/>
      <c r="I206" s="330"/>
      <c r="J206" s="324"/>
      <c r="K206" s="356"/>
      <c r="L206" s="357"/>
      <c r="M206" s="357"/>
      <c r="N206" s="299"/>
      <c r="O206" s="310"/>
    </row>
    <row r="207" spans="2:15" ht="30" customHeight="1" x14ac:dyDescent="0.3">
      <c r="B207" s="336"/>
      <c r="C207" s="336"/>
      <c r="D207" s="318"/>
      <c r="E207" s="304"/>
      <c r="F207" s="324"/>
      <c r="G207" s="115">
        <v>4</v>
      </c>
      <c r="H207" s="155"/>
      <c r="I207" s="330"/>
      <c r="J207" s="324"/>
      <c r="K207" s="356"/>
      <c r="L207" s="357"/>
      <c r="M207" s="357"/>
      <c r="N207" s="299"/>
      <c r="O207" s="310"/>
    </row>
    <row r="208" spans="2:15" ht="30" customHeight="1" x14ac:dyDescent="0.3">
      <c r="B208" s="336"/>
      <c r="C208" s="336"/>
      <c r="D208" s="318"/>
      <c r="E208" s="304"/>
      <c r="F208" s="324"/>
      <c r="G208" s="115">
        <v>5</v>
      </c>
      <c r="H208" s="155"/>
      <c r="I208" s="330"/>
      <c r="J208" s="324"/>
      <c r="K208" s="356"/>
      <c r="L208" s="357"/>
      <c r="M208" s="357"/>
      <c r="N208" s="299"/>
      <c r="O208" s="310"/>
    </row>
    <row r="209" spans="2:15" ht="30" customHeight="1" x14ac:dyDescent="0.3">
      <c r="B209" s="336"/>
      <c r="C209" s="336"/>
      <c r="D209" s="318"/>
      <c r="E209" s="304"/>
      <c r="F209" s="324"/>
      <c r="G209" s="115">
        <v>6</v>
      </c>
      <c r="H209" s="155"/>
      <c r="I209" s="330"/>
      <c r="J209" s="324"/>
      <c r="K209" s="356"/>
      <c r="L209" s="357"/>
      <c r="M209" s="357"/>
      <c r="N209" s="299"/>
      <c r="O209" s="310"/>
    </row>
    <row r="210" spans="2:15" ht="30" customHeight="1" x14ac:dyDescent="0.3">
      <c r="B210" s="336"/>
      <c r="C210" s="336"/>
      <c r="D210" s="318"/>
      <c r="E210" s="304"/>
      <c r="F210" s="324"/>
      <c r="G210" s="115">
        <v>7</v>
      </c>
      <c r="H210" s="155"/>
      <c r="I210" s="330"/>
      <c r="J210" s="324"/>
      <c r="K210" s="356"/>
      <c r="L210" s="357"/>
      <c r="M210" s="357"/>
      <c r="N210" s="299"/>
      <c r="O210" s="310"/>
    </row>
    <row r="211" spans="2:15" ht="30" customHeight="1" thickBot="1" x14ac:dyDescent="0.35">
      <c r="B211" s="337"/>
      <c r="C211" s="337"/>
      <c r="D211" s="319"/>
      <c r="E211" s="305"/>
      <c r="F211" s="325"/>
      <c r="G211" s="117">
        <v>8</v>
      </c>
      <c r="H211" s="156"/>
      <c r="I211" s="331"/>
      <c r="J211" s="325"/>
      <c r="K211" s="356"/>
      <c r="L211" s="357"/>
      <c r="M211" s="357"/>
      <c r="N211" s="299"/>
      <c r="O211" s="310"/>
    </row>
    <row r="212" spans="2:15" ht="30" customHeight="1" thickBot="1" x14ac:dyDescent="0.35">
      <c r="B212" s="335" t="str">
        <f>+LEFT(C212,3)</f>
        <v>5.4</v>
      </c>
      <c r="C212" s="335" t="s">
        <v>192</v>
      </c>
      <c r="D212" s="317" t="s">
        <v>193</v>
      </c>
      <c r="E212" s="406" t="s">
        <v>590</v>
      </c>
      <c r="F212" s="320">
        <v>3</v>
      </c>
      <c r="G212" s="118">
        <v>1</v>
      </c>
      <c r="H212" s="169" t="s">
        <v>246</v>
      </c>
      <c r="I212" s="329" t="s">
        <v>614</v>
      </c>
      <c r="J212" s="323">
        <v>3</v>
      </c>
      <c r="K212" s="356" t="str">
        <f>+IF(OR(ISBLANK(F212),ISBLANK(J212)),"",IF(OR(AND(F212=1,J212=1),AND(F212=1,J212=2),AND(F212=1,J212=3)),"Deficiencia de control mayor (diseño y ejecución)",IF(OR(AND(F212=2,J212=2),AND(F212=3,J212=1),AND(F212=3,J212=2),AND(F212=2,J212=1)),"Deficiencia de control (diseño o ejecución)",IF(AND(F212=2,J212=3),"Oportunidad de mejora","Mantenimiento del control"))))</f>
        <v>Mantenimiento del control</v>
      </c>
      <c r="L212" s="357">
        <f>+IF(K212="",0,IF(K212="Deficiencia de control mayor (diseño y ejecución)",4,IF(K212="Deficiencia de control (diseño o ejecución)",20,IF(K212="Oportunidad de mejora",40,60))))</f>
        <v>60</v>
      </c>
      <c r="M212" s="357">
        <v>1.48963</v>
      </c>
      <c r="N212" s="299">
        <f>+L212+M212</f>
        <v>61.489629999999998</v>
      </c>
      <c r="O212" s="310"/>
    </row>
    <row r="213" spans="2:15" ht="34.5" customHeight="1" x14ac:dyDescent="0.3">
      <c r="B213" s="336"/>
      <c r="C213" s="336"/>
      <c r="D213" s="318"/>
      <c r="E213" s="407"/>
      <c r="F213" s="321"/>
      <c r="G213" s="115">
        <v>2</v>
      </c>
      <c r="H213" s="208" t="s">
        <v>496</v>
      </c>
      <c r="I213" s="330"/>
      <c r="J213" s="324"/>
      <c r="K213" s="356"/>
      <c r="L213" s="357"/>
      <c r="M213" s="357"/>
      <c r="N213" s="299"/>
      <c r="O213" s="310"/>
    </row>
    <row r="214" spans="2:15" ht="37.5" customHeight="1" x14ac:dyDescent="0.3">
      <c r="B214" s="336"/>
      <c r="C214" s="336"/>
      <c r="D214" s="318"/>
      <c r="E214" s="407"/>
      <c r="F214" s="321"/>
      <c r="G214" s="115">
        <v>3</v>
      </c>
      <c r="H214" s="226" t="s">
        <v>553</v>
      </c>
      <c r="I214" s="330"/>
      <c r="J214" s="324"/>
      <c r="K214" s="356"/>
      <c r="L214" s="357"/>
      <c r="M214" s="357"/>
      <c r="N214" s="299"/>
      <c r="O214" s="310"/>
    </row>
    <row r="215" spans="2:15" ht="30" customHeight="1" x14ac:dyDescent="0.3">
      <c r="B215" s="336"/>
      <c r="C215" s="336"/>
      <c r="D215" s="318"/>
      <c r="E215" s="407"/>
      <c r="F215" s="321"/>
      <c r="G215" s="115">
        <v>4</v>
      </c>
      <c r="H215" s="209" t="s">
        <v>504</v>
      </c>
      <c r="I215" s="330"/>
      <c r="J215" s="324"/>
      <c r="K215" s="356"/>
      <c r="L215" s="357"/>
      <c r="M215" s="357"/>
      <c r="N215" s="299"/>
      <c r="O215" s="310"/>
    </row>
    <row r="216" spans="2:15" ht="30" customHeight="1" x14ac:dyDescent="0.3">
      <c r="B216" s="336"/>
      <c r="C216" s="336"/>
      <c r="D216" s="318"/>
      <c r="E216" s="407"/>
      <c r="F216" s="321"/>
      <c r="G216" s="115">
        <v>5</v>
      </c>
      <c r="H216" s="209"/>
      <c r="I216" s="330"/>
      <c r="J216" s="324"/>
      <c r="K216" s="356"/>
      <c r="L216" s="357"/>
      <c r="M216" s="357"/>
      <c r="N216" s="299"/>
      <c r="O216" s="310"/>
    </row>
    <row r="217" spans="2:15" ht="30" customHeight="1" x14ac:dyDescent="0.3">
      <c r="B217" s="336"/>
      <c r="C217" s="336"/>
      <c r="D217" s="318"/>
      <c r="E217" s="407"/>
      <c r="F217" s="321"/>
      <c r="G217" s="115">
        <v>6</v>
      </c>
      <c r="H217" s="209"/>
      <c r="I217" s="330"/>
      <c r="J217" s="324"/>
      <c r="K217" s="356"/>
      <c r="L217" s="357"/>
      <c r="M217" s="357"/>
      <c r="N217" s="299"/>
      <c r="O217" s="310"/>
    </row>
    <row r="218" spans="2:15" ht="30" customHeight="1" x14ac:dyDescent="0.3">
      <c r="B218" s="336"/>
      <c r="C218" s="336"/>
      <c r="D218" s="318"/>
      <c r="E218" s="407"/>
      <c r="F218" s="321"/>
      <c r="G218" s="115">
        <v>7</v>
      </c>
      <c r="H218" s="155"/>
      <c r="I218" s="330"/>
      <c r="J218" s="324"/>
      <c r="K218" s="356"/>
      <c r="L218" s="357"/>
      <c r="M218" s="357"/>
      <c r="N218" s="299"/>
      <c r="O218" s="310"/>
    </row>
    <row r="219" spans="2:15" ht="39.75" customHeight="1" thickBot="1" x14ac:dyDescent="0.35">
      <c r="B219" s="337"/>
      <c r="C219" s="337"/>
      <c r="D219" s="319"/>
      <c r="E219" s="408"/>
      <c r="F219" s="322"/>
      <c r="G219" s="117">
        <v>8</v>
      </c>
      <c r="H219" s="156"/>
      <c r="I219" s="331"/>
      <c r="J219" s="325"/>
      <c r="K219" s="356"/>
      <c r="L219" s="357"/>
      <c r="M219" s="357"/>
      <c r="N219" s="299"/>
      <c r="O219" s="310"/>
    </row>
    <row r="220" spans="2:15" ht="33" customHeight="1" thickBot="1" x14ac:dyDescent="0.35">
      <c r="B220" s="335" t="str">
        <f>+LEFT(C220,3)</f>
        <v>5.5</v>
      </c>
      <c r="C220" s="335" t="s">
        <v>194</v>
      </c>
      <c r="D220" s="317" t="s">
        <v>195</v>
      </c>
      <c r="E220" s="303" t="s">
        <v>594</v>
      </c>
      <c r="F220" s="323">
        <v>3</v>
      </c>
      <c r="G220" s="118">
        <v>1</v>
      </c>
      <c r="H220" s="232" t="s">
        <v>507</v>
      </c>
      <c r="I220" s="329" t="s">
        <v>615</v>
      </c>
      <c r="J220" s="323">
        <v>3</v>
      </c>
      <c r="K220" s="356" t="str">
        <f>+IF(OR(ISBLANK(F220),ISBLANK(J220)),"",IF(OR(AND(F220=1,J220=1),AND(F220=1,J220=2),AND(F220=1,J220=3)),"Deficiencia de control mayor (diseño y ejecución)",IF(OR(AND(F220=2,J220=2),AND(F220=3,J220=1),AND(F220=3,J220=2),AND(F220=2,J220=1)),"Deficiencia de control (diseño o ejecución)",IF(AND(F220=2,J220=3),"Oportunidad de mejora","Mantenimiento del control"))))</f>
        <v>Mantenimiento del control</v>
      </c>
      <c r="L220" s="357">
        <f>+IF(K220="",0,IF(K220="Deficiencia de control mayor (diseño y ejecución)",4,IF(K220="Deficiencia de control (diseño o ejecución)",20,IF(K220="Oportunidad de mejora",40,60))))</f>
        <v>60</v>
      </c>
      <c r="M220" s="357">
        <v>1.58965</v>
      </c>
      <c r="N220" s="299">
        <f>+L220+M220</f>
        <v>61.589649999999999</v>
      </c>
      <c r="O220" s="310"/>
    </row>
    <row r="221" spans="2:15" ht="38.25" customHeight="1" x14ac:dyDescent="0.3">
      <c r="B221" s="336"/>
      <c r="C221" s="336"/>
      <c r="D221" s="318"/>
      <c r="E221" s="304"/>
      <c r="F221" s="324"/>
      <c r="G221" s="115">
        <v>2</v>
      </c>
      <c r="H221" s="163" t="s">
        <v>593</v>
      </c>
      <c r="I221" s="330"/>
      <c r="J221" s="324"/>
      <c r="K221" s="356"/>
      <c r="L221" s="357"/>
      <c r="M221" s="357"/>
      <c r="N221" s="299"/>
      <c r="O221" s="310"/>
    </row>
    <row r="222" spans="2:15" ht="30" customHeight="1" x14ac:dyDescent="0.3">
      <c r="B222" s="336"/>
      <c r="C222" s="336"/>
      <c r="D222" s="318"/>
      <c r="E222" s="304"/>
      <c r="F222" s="324"/>
      <c r="G222" s="115">
        <v>3</v>
      </c>
      <c r="H222" s="170" t="s">
        <v>595</v>
      </c>
      <c r="I222" s="330"/>
      <c r="J222" s="324"/>
      <c r="K222" s="356"/>
      <c r="L222" s="357"/>
      <c r="M222" s="357"/>
      <c r="N222" s="299"/>
      <c r="O222" s="310"/>
    </row>
    <row r="223" spans="2:15" ht="34.5" customHeight="1" x14ac:dyDescent="0.3">
      <c r="B223" s="336"/>
      <c r="C223" s="336"/>
      <c r="D223" s="318"/>
      <c r="E223" s="304"/>
      <c r="F223" s="324"/>
      <c r="G223" s="115">
        <v>4</v>
      </c>
      <c r="H223" s="164" t="s">
        <v>598</v>
      </c>
      <c r="I223" s="330"/>
      <c r="J223" s="324"/>
      <c r="K223" s="356"/>
      <c r="L223" s="357"/>
      <c r="M223" s="357"/>
      <c r="N223" s="299"/>
      <c r="O223" s="310"/>
    </row>
    <row r="224" spans="2:15" ht="36.75" customHeight="1" thickBot="1" x14ac:dyDescent="0.35">
      <c r="B224" s="336"/>
      <c r="C224" s="336"/>
      <c r="D224" s="318"/>
      <c r="E224" s="304"/>
      <c r="F224" s="324"/>
      <c r="G224" s="115">
        <v>5</v>
      </c>
      <c r="H224" s="228" t="s">
        <v>591</v>
      </c>
      <c r="I224" s="330"/>
      <c r="J224" s="324"/>
      <c r="K224" s="356"/>
      <c r="L224" s="357"/>
      <c r="M224" s="357"/>
      <c r="N224" s="299"/>
      <c r="O224" s="310"/>
    </row>
    <row r="225" spans="2:15" ht="39.75" customHeight="1" x14ac:dyDescent="0.3">
      <c r="B225" s="336"/>
      <c r="C225" s="336"/>
      <c r="D225" s="318"/>
      <c r="E225" s="304"/>
      <c r="F225" s="324"/>
      <c r="G225" s="115">
        <v>6</v>
      </c>
      <c r="H225" s="227" t="s">
        <v>592</v>
      </c>
      <c r="I225" s="330"/>
      <c r="J225" s="324"/>
      <c r="K225" s="356"/>
      <c r="L225" s="357"/>
      <c r="M225" s="357"/>
      <c r="N225" s="299"/>
      <c r="O225" s="310"/>
    </row>
    <row r="226" spans="2:15" ht="30" customHeight="1" x14ac:dyDescent="0.3">
      <c r="B226" s="336"/>
      <c r="C226" s="336"/>
      <c r="D226" s="318"/>
      <c r="E226" s="304"/>
      <c r="F226" s="324"/>
      <c r="G226" s="115">
        <v>7</v>
      </c>
      <c r="H226" s="229" t="s">
        <v>505</v>
      </c>
      <c r="I226" s="330"/>
      <c r="J226" s="324"/>
      <c r="K226" s="356"/>
      <c r="L226" s="357"/>
      <c r="M226" s="357"/>
      <c r="N226" s="299"/>
      <c r="O226" s="310"/>
    </row>
    <row r="227" spans="2:15" ht="121.5" customHeight="1" thickBot="1" x14ac:dyDescent="0.35">
      <c r="B227" s="337"/>
      <c r="C227" s="337"/>
      <c r="D227" s="319"/>
      <c r="E227" s="305"/>
      <c r="F227" s="325"/>
      <c r="G227" s="117">
        <v>8</v>
      </c>
      <c r="H227" s="156"/>
      <c r="I227" s="331"/>
      <c r="J227" s="325"/>
      <c r="K227" s="356"/>
      <c r="L227" s="357"/>
      <c r="M227" s="357"/>
      <c r="N227" s="299"/>
      <c r="O227" s="310"/>
    </row>
    <row r="228" spans="2:15" ht="30" customHeight="1" x14ac:dyDescent="0.3">
      <c r="B228" s="335" t="str">
        <f>+LEFT(C228,3)</f>
        <v>5.6</v>
      </c>
      <c r="C228" s="335" t="s">
        <v>196</v>
      </c>
      <c r="D228" s="317" t="s">
        <v>195</v>
      </c>
      <c r="E228" s="406" t="s">
        <v>596</v>
      </c>
      <c r="F228" s="320">
        <v>3</v>
      </c>
      <c r="G228" s="118">
        <v>1</v>
      </c>
      <c r="H228" s="209" t="s">
        <v>508</v>
      </c>
      <c r="I228" s="329" t="s">
        <v>600</v>
      </c>
      <c r="J228" s="323">
        <v>3</v>
      </c>
      <c r="K228" s="356" t="str">
        <f>+IF(OR(ISBLANK(F228),ISBLANK(J228)),"",IF(OR(AND(F228=1,J228=1),AND(F228=1,J228=2),AND(F228=1,J228=3)),"Deficiencia de control mayor (diseño y ejecución)",IF(OR(AND(F228=2,J228=2),AND(F228=3,J228=1),AND(F228=3,J228=2),AND(F228=2,J228=1)),"Deficiencia de control (diseño o ejecución)",IF(AND(F228=2,J228=3),"Oportunidad de mejora","Mantenimiento del control"))))</f>
        <v>Mantenimiento del control</v>
      </c>
      <c r="L228" s="357">
        <f>+IF(K228="",0,IF(K228="Deficiencia de control mayor (diseño y ejecución)",4,IF(K228="Deficiencia de control (diseño o ejecución)",20,IF(K228="Oportunidad de mejora",40,60))))</f>
        <v>60</v>
      </c>
      <c r="M228" s="357">
        <v>1.6896530000000001</v>
      </c>
      <c r="N228" s="299">
        <f>+L228+M228</f>
        <v>61.689653</v>
      </c>
      <c r="O228" s="310"/>
    </row>
    <row r="229" spans="2:15" ht="30" customHeight="1" x14ac:dyDescent="0.3">
      <c r="B229" s="336"/>
      <c r="C229" s="336"/>
      <c r="D229" s="318"/>
      <c r="E229" s="407"/>
      <c r="F229" s="321"/>
      <c r="G229" s="115">
        <v>2</v>
      </c>
      <c r="H229" s="229" t="s">
        <v>599</v>
      </c>
      <c r="I229" s="330"/>
      <c r="J229" s="324"/>
      <c r="K229" s="356"/>
      <c r="L229" s="357"/>
      <c r="M229" s="357"/>
      <c r="N229" s="299"/>
      <c r="O229" s="310"/>
    </row>
    <row r="230" spans="2:15" ht="33" customHeight="1" x14ac:dyDescent="0.3">
      <c r="B230" s="336"/>
      <c r="C230" s="336"/>
      <c r="D230" s="318"/>
      <c r="E230" s="407"/>
      <c r="F230" s="321"/>
      <c r="G230" s="115">
        <v>3</v>
      </c>
      <c r="H230" s="228" t="s">
        <v>598</v>
      </c>
      <c r="I230" s="330"/>
      <c r="J230" s="324"/>
      <c r="K230" s="356"/>
      <c r="L230" s="357"/>
      <c r="M230" s="357"/>
      <c r="N230" s="299"/>
      <c r="O230" s="310"/>
    </row>
    <row r="231" spans="2:15" ht="34.5" customHeight="1" x14ac:dyDescent="0.3">
      <c r="B231" s="336"/>
      <c r="C231" s="336"/>
      <c r="D231" s="318"/>
      <c r="E231" s="407"/>
      <c r="F231" s="321"/>
      <c r="G231" s="115">
        <v>4</v>
      </c>
      <c r="H231" s="228" t="s">
        <v>597</v>
      </c>
      <c r="I231" s="330"/>
      <c r="J231" s="324"/>
      <c r="K231" s="356"/>
      <c r="L231" s="357"/>
      <c r="M231" s="357"/>
      <c r="N231" s="299"/>
      <c r="O231" s="310"/>
    </row>
    <row r="232" spans="2:15" ht="30" customHeight="1" x14ac:dyDescent="0.3">
      <c r="B232" s="336"/>
      <c r="C232" s="336"/>
      <c r="D232" s="318"/>
      <c r="E232" s="407"/>
      <c r="F232" s="321"/>
      <c r="G232" s="115">
        <v>5</v>
      </c>
      <c r="H232" s="229"/>
      <c r="I232" s="330"/>
      <c r="J232" s="324"/>
      <c r="K232" s="356"/>
      <c r="L232" s="357"/>
      <c r="M232" s="357"/>
      <c r="N232" s="299"/>
      <c r="O232" s="310"/>
    </row>
    <row r="233" spans="2:15" ht="30" customHeight="1" x14ac:dyDescent="0.3">
      <c r="B233" s="336"/>
      <c r="C233" s="336"/>
      <c r="D233" s="318"/>
      <c r="E233" s="407"/>
      <c r="F233" s="321"/>
      <c r="G233" s="115">
        <v>6</v>
      </c>
      <c r="H233" s="228"/>
      <c r="I233" s="330"/>
      <c r="J233" s="324"/>
      <c r="K233" s="356"/>
      <c r="L233" s="357"/>
      <c r="M233" s="357"/>
      <c r="N233" s="299"/>
      <c r="O233" s="310"/>
    </row>
    <row r="234" spans="2:15" ht="30" customHeight="1" x14ac:dyDescent="0.3">
      <c r="B234" s="336"/>
      <c r="C234" s="336"/>
      <c r="D234" s="318"/>
      <c r="E234" s="407"/>
      <c r="F234" s="321"/>
      <c r="G234" s="115">
        <v>7</v>
      </c>
      <c r="H234" s="155"/>
      <c r="I234" s="330"/>
      <c r="J234" s="324"/>
      <c r="K234" s="356"/>
      <c r="L234" s="357"/>
      <c r="M234" s="357"/>
      <c r="N234" s="299"/>
      <c r="O234" s="310"/>
    </row>
    <row r="235" spans="2:15" ht="30" customHeight="1" thickBot="1" x14ac:dyDescent="0.35">
      <c r="B235" s="337"/>
      <c r="C235" s="337"/>
      <c r="D235" s="319"/>
      <c r="E235" s="408"/>
      <c r="F235" s="322"/>
      <c r="G235" s="117">
        <v>8</v>
      </c>
      <c r="H235" s="156"/>
      <c r="I235" s="331"/>
      <c r="J235" s="325"/>
      <c r="K235" s="356"/>
      <c r="L235" s="357"/>
      <c r="M235" s="357"/>
      <c r="N235" s="299"/>
      <c r="O235" s="310"/>
    </row>
    <row r="236" spans="2:15" ht="22.5" customHeight="1" x14ac:dyDescent="0.3"/>
    <row r="237" spans="2:15" ht="12" customHeight="1" x14ac:dyDescent="0.3"/>
    <row r="238" spans="2:15" ht="22.5" customHeight="1" x14ac:dyDescent="0.3"/>
    <row r="239" spans="2:15" ht="22.5" customHeight="1" x14ac:dyDescent="0.3"/>
    <row r="240" spans="2:15" ht="22.5" customHeight="1" x14ac:dyDescent="0.3"/>
    <row r="241" ht="22.5" customHeight="1" x14ac:dyDescent="0.3"/>
    <row r="242" ht="22.5" customHeight="1" x14ac:dyDescent="0.3"/>
    <row r="243" ht="22.5" customHeight="1" x14ac:dyDescent="0.3"/>
    <row r="244" ht="22.5" customHeight="1" x14ac:dyDescent="0.3"/>
    <row r="245" ht="22.5" customHeight="1" x14ac:dyDescent="0.3"/>
    <row r="246" ht="22.5" customHeight="1" x14ac:dyDescent="0.3"/>
    <row r="247" ht="22.5" customHeight="1" x14ac:dyDescent="0.3"/>
    <row r="248" ht="22.5" customHeight="1" x14ac:dyDescent="0.3"/>
    <row r="249" ht="22.5" customHeight="1" x14ac:dyDescent="0.3"/>
    <row r="250" ht="22.5" customHeight="1" x14ac:dyDescent="0.3"/>
    <row r="251" ht="22.5" customHeight="1" x14ac:dyDescent="0.3"/>
    <row r="252" ht="22.5" customHeight="1" x14ac:dyDescent="0.3"/>
    <row r="253" ht="22.5" customHeight="1" x14ac:dyDescent="0.3"/>
    <row r="254" ht="22.5" customHeight="1" x14ac:dyDescent="0.3"/>
    <row r="255" ht="22.5" customHeight="1" x14ac:dyDescent="0.3"/>
    <row r="256" ht="22.5" customHeight="1" x14ac:dyDescent="0.3"/>
    <row r="257" ht="22.5" customHeight="1" x14ac:dyDescent="0.3"/>
    <row r="258" ht="22.5" customHeight="1" x14ac:dyDescent="0.3"/>
    <row r="259" ht="22.5" customHeight="1" x14ac:dyDescent="0.3"/>
    <row r="260" ht="22.5" customHeight="1" x14ac:dyDescent="0.3"/>
    <row r="261" ht="22.5" customHeight="1" x14ac:dyDescent="0.3"/>
    <row r="262" ht="22.5" customHeight="1" x14ac:dyDescent="0.3"/>
    <row r="263" ht="22.5" customHeight="1" x14ac:dyDescent="0.3"/>
    <row r="264" ht="22.5" customHeight="1" x14ac:dyDescent="0.3"/>
    <row r="265" ht="22.5" customHeight="1" x14ac:dyDescent="0.3"/>
    <row r="266" ht="22.5" customHeight="1" x14ac:dyDescent="0.3"/>
    <row r="267" ht="22.5" customHeight="1" x14ac:dyDescent="0.3"/>
    <row r="268" ht="22.5" customHeight="1" x14ac:dyDescent="0.3"/>
    <row r="269" ht="22.5" customHeight="1" x14ac:dyDescent="0.3"/>
    <row r="270" ht="22.5" customHeight="1" x14ac:dyDescent="0.3"/>
    <row r="271" ht="22.5" customHeight="1" x14ac:dyDescent="0.3"/>
    <row r="272" ht="22.5" customHeight="1" x14ac:dyDescent="0.3"/>
    <row r="273" ht="22.5" customHeight="1" x14ac:dyDescent="0.3"/>
    <row r="274" ht="22.5" customHeight="1" x14ac:dyDescent="0.3"/>
    <row r="275" ht="22.5" customHeight="1" x14ac:dyDescent="0.3"/>
    <row r="276" ht="22.5" customHeight="1" x14ac:dyDescent="0.3"/>
    <row r="277" ht="22.5" customHeight="1" x14ac:dyDescent="0.3"/>
    <row r="278" ht="22.5" customHeight="1" x14ac:dyDescent="0.3"/>
    <row r="279" ht="22.5" customHeight="1" x14ac:dyDescent="0.3"/>
    <row r="280" ht="22.5" customHeight="1" x14ac:dyDescent="0.3"/>
    <row r="281" ht="22.5" customHeight="1" x14ac:dyDescent="0.3"/>
    <row r="282" ht="22.5" customHeight="1" x14ac:dyDescent="0.3"/>
    <row r="283" ht="22.5" customHeight="1" x14ac:dyDescent="0.3"/>
    <row r="284" ht="22.5" customHeight="1" x14ac:dyDescent="0.3"/>
    <row r="285" ht="22.5" customHeight="1" x14ac:dyDescent="0.3"/>
    <row r="286" ht="22.5" customHeight="1" x14ac:dyDescent="0.3"/>
    <row r="287" ht="22.5" customHeight="1" x14ac:dyDescent="0.3"/>
    <row r="288" ht="22.5" customHeight="1" x14ac:dyDescent="0.3"/>
    <row r="289" ht="22.5" customHeight="1" x14ac:dyDescent="0.3"/>
    <row r="290" ht="22.5" customHeight="1" x14ac:dyDescent="0.3"/>
    <row r="291" ht="22.5" customHeight="1" x14ac:dyDescent="0.3"/>
    <row r="292" ht="22.5" customHeight="1" x14ac:dyDescent="0.3"/>
    <row r="293" ht="22.5" customHeight="1" x14ac:dyDescent="0.3"/>
    <row r="294" ht="22.5" customHeight="1" x14ac:dyDescent="0.3"/>
    <row r="295" ht="22.5" customHeight="1" x14ac:dyDescent="0.3"/>
    <row r="296" ht="22.5" customHeight="1" x14ac:dyDescent="0.3"/>
    <row r="297" ht="22.5" customHeight="1" x14ac:dyDescent="0.3"/>
    <row r="298" ht="22.5" customHeight="1" x14ac:dyDescent="0.3"/>
    <row r="299" ht="22.5" customHeight="1" x14ac:dyDescent="0.3"/>
    <row r="300" ht="22.5" customHeight="1" x14ac:dyDescent="0.3"/>
    <row r="301" ht="22.5" customHeight="1" x14ac:dyDescent="0.3"/>
    <row r="302" ht="22.5" customHeight="1" x14ac:dyDescent="0.3"/>
    <row r="303" ht="22.5" customHeight="1" x14ac:dyDescent="0.3"/>
    <row r="304" ht="22.5" customHeight="1" x14ac:dyDescent="0.3"/>
    <row r="305" ht="22.5" customHeight="1" x14ac:dyDescent="0.3"/>
    <row r="306" ht="22.5" customHeight="1" x14ac:dyDescent="0.3"/>
    <row r="307" ht="22.5" customHeight="1" x14ac:dyDescent="0.3"/>
    <row r="308" ht="22.5" customHeight="1" x14ac:dyDescent="0.3"/>
    <row r="309" ht="22.5" customHeight="1" x14ac:dyDescent="0.3"/>
    <row r="310" ht="22.5" customHeight="1" x14ac:dyDescent="0.3"/>
    <row r="311" ht="22.5" customHeight="1" x14ac:dyDescent="0.3"/>
    <row r="312" ht="22.5" customHeight="1" x14ac:dyDescent="0.3"/>
    <row r="313" ht="22.5" customHeight="1" x14ac:dyDescent="0.3"/>
    <row r="314" ht="22.5" customHeight="1" x14ac:dyDescent="0.3"/>
    <row r="315" ht="22.5" customHeight="1" x14ac:dyDescent="0.3"/>
    <row r="316" ht="22.5" customHeight="1" x14ac:dyDescent="0.3"/>
    <row r="317" ht="22.5" customHeight="1" x14ac:dyDescent="0.3"/>
    <row r="318" ht="22.5" customHeight="1" x14ac:dyDescent="0.3"/>
    <row r="319" ht="22.5" customHeight="1" x14ac:dyDescent="0.3"/>
    <row r="320" ht="22.5" customHeight="1" x14ac:dyDescent="0.3"/>
    <row r="321" ht="22.5" customHeight="1" x14ac:dyDescent="0.3"/>
    <row r="322" ht="22.5" customHeight="1" x14ac:dyDescent="0.3"/>
    <row r="323" ht="22.5" customHeight="1" x14ac:dyDescent="0.3"/>
    <row r="324" ht="22.5" customHeight="1" x14ac:dyDescent="0.3"/>
    <row r="325" ht="22.5" customHeight="1" x14ac:dyDescent="0.3"/>
    <row r="326" ht="22.5" customHeight="1" x14ac:dyDescent="0.3"/>
    <row r="327" ht="22.5" customHeight="1" x14ac:dyDescent="0.3"/>
    <row r="328" ht="22.5" customHeight="1" x14ac:dyDescent="0.3"/>
    <row r="329" ht="22.5" customHeight="1" x14ac:dyDescent="0.3"/>
    <row r="330" ht="22.5" customHeight="1" x14ac:dyDescent="0.3"/>
    <row r="331" ht="22.5" customHeight="1" x14ac:dyDescent="0.3"/>
    <row r="332" ht="22.5" customHeight="1" x14ac:dyDescent="0.3"/>
    <row r="333" ht="22.5" customHeight="1" x14ac:dyDescent="0.3"/>
    <row r="334" ht="22.5" customHeight="1" x14ac:dyDescent="0.3"/>
    <row r="335" ht="22.5" customHeight="1" x14ac:dyDescent="0.3"/>
    <row r="336" ht="22.5" customHeight="1" x14ac:dyDescent="0.3"/>
    <row r="337" ht="22.5" customHeight="1" x14ac:dyDescent="0.3"/>
    <row r="338" ht="22.5" customHeight="1" x14ac:dyDescent="0.3"/>
    <row r="339" ht="22.5" customHeight="1" x14ac:dyDescent="0.3"/>
    <row r="340" ht="22.5" customHeight="1" x14ac:dyDescent="0.3"/>
    <row r="341" ht="22.5" customHeight="1" x14ac:dyDescent="0.3"/>
    <row r="342" ht="22.5" customHeight="1" x14ac:dyDescent="0.3"/>
    <row r="343" ht="22.5" customHeight="1" x14ac:dyDescent="0.3"/>
    <row r="344" ht="22.5" customHeight="1" x14ac:dyDescent="0.3"/>
    <row r="345" ht="22.5" customHeight="1" x14ac:dyDescent="0.3"/>
    <row r="346" ht="22.5" customHeight="1" x14ac:dyDescent="0.3"/>
    <row r="347" ht="22.5" customHeight="1" x14ac:dyDescent="0.3"/>
    <row r="348" ht="22.5" customHeight="1" x14ac:dyDescent="0.3"/>
    <row r="349" ht="22.5" customHeight="1" x14ac:dyDescent="0.3"/>
    <row r="350" ht="22.5" customHeight="1" x14ac:dyDescent="0.3"/>
    <row r="351" ht="22.5" customHeight="1" x14ac:dyDescent="0.3"/>
    <row r="352" ht="22.5" customHeight="1" x14ac:dyDescent="0.3"/>
  </sheetData>
  <sheetProtection algorithmName="SHA-512" hashValue="aDshBhmzNXhsQTxLIdYt+6x1+NqZa+BUKY47hnusL+GyubKLvR+w0c8hfPcIg3stthY/IV94RBT4lK7HLmOEcQ==" saltValue="2r/55Sek4cW80H/oY29DHw==" spinCount="100000" sheet="1" objects="1" scenarios="1" formatCells="0" formatColumns="0" formatRows="0"/>
  <mergeCells count="381">
    <mergeCell ref="I204:I211"/>
    <mergeCell ref="I212:I219"/>
    <mergeCell ref="I220:I227"/>
    <mergeCell ref="I228:I235"/>
    <mergeCell ref="I161:I168"/>
    <mergeCell ref="I56:I63"/>
    <mergeCell ref="I118:I125"/>
    <mergeCell ref="I129:I136"/>
    <mergeCell ref="I137:I144"/>
    <mergeCell ref="I145:I152"/>
    <mergeCell ref="I153:I160"/>
    <mergeCell ref="I177:I184"/>
    <mergeCell ref="I188:I195"/>
    <mergeCell ref="I196:I203"/>
    <mergeCell ref="O169:O176"/>
    <mergeCell ref="A24:A31"/>
    <mergeCell ref="D32:D39"/>
    <mergeCell ref="J32:J39"/>
    <mergeCell ref="K32:K39"/>
    <mergeCell ref="C145:C152"/>
    <mergeCell ref="J161:J168"/>
    <mergeCell ref="J145:J152"/>
    <mergeCell ref="J118:J125"/>
    <mergeCell ref="F118:F125"/>
    <mergeCell ref="E118:E125"/>
    <mergeCell ref="D118:D125"/>
    <mergeCell ref="C118:C125"/>
    <mergeCell ref="C110:C117"/>
    <mergeCell ref="J110:J117"/>
    <mergeCell ref="F110:F117"/>
    <mergeCell ref="D137:D144"/>
    <mergeCell ref="E137:E144"/>
    <mergeCell ref="F137:F144"/>
    <mergeCell ref="J137:J144"/>
    <mergeCell ref="C129:C136"/>
    <mergeCell ref="D129:D136"/>
    <mergeCell ref="E129:E136"/>
    <mergeCell ref="F129:F136"/>
    <mergeCell ref="C137:C144"/>
    <mergeCell ref="D145:D152"/>
    <mergeCell ref="F145:F152"/>
    <mergeCell ref="C21:C23"/>
    <mergeCell ref="D21:D23"/>
    <mergeCell ref="F21:F23"/>
    <mergeCell ref="J21:J23"/>
    <mergeCell ref="E21:E23"/>
    <mergeCell ref="C18:K18"/>
    <mergeCell ref="C19:K19"/>
    <mergeCell ref="C48:C55"/>
    <mergeCell ref="D48:D55"/>
    <mergeCell ref="E48:E55"/>
    <mergeCell ref="F48:F55"/>
    <mergeCell ref="J48:J55"/>
    <mergeCell ref="C32:C39"/>
    <mergeCell ref="E32:E39"/>
    <mergeCell ref="F32:F39"/>
    <mergeCell ref="C72:C74"/>
    <mergeCell ref="D72:D74"/>
    <mergeCell ref="F72:F74"/>
    <mergeCell ref="J72:J74"/>
    <mergeCell ref="G73:G74"/>
    <mergeCell ref="H73:H74"/>
    <mergeCell ref="J24:J31"/>
    <mergeCell ref="C40:C47"/>
    <mergeCell ref="D40:D47"/>
    <mergeCell ref="E40:E47"/>
    <mergeCell ref="F40:F47"/>
    <mergeCell ref="J40:J47"/>
    <mergeCell ref="C24:C31"/>
    <mergeCell ref="D24:D31"/>
    <mergeCell ref="E24:E31"/>
    <mergeCell ref="F24:F31"/>
    <mergeCell ref="I32:I39"/>
    <mergeCell ref="E72:E74"/>
    <mergeCell ref="C64:C71"/>
    <mergeCell ref="D64:D71"/>
    <mergeCell ref="E64:E71"/>
    <mergeCell ref="C83:C90"/>
    <mergeCell ref="D83:D90"/>
    <mergeCell ref="E83:E90"/>
    <mergeCell ref="F83:F90"/>
    <mergeCell ref="J83:J90"/>
    <mergeCell ref="C75:C82"/>
    <mergeCell ref="D75:D82"/>
    <mergeCell ref="E75:E82"/>
    <mergeCell ref="F75:F82"/>
    <mergeCell ref="J91:J98"/>
    <mergeCell ref="J99:J101"/>
    <mergeCell ref="G100:G101"/>
    <mergeCell ref="H100:H101"/>
    <mergeCell ref="C99:C101"/>
    <mergeCell ref="D99:D101"/>
    <mergeCell ref="F99:F101"/>
    <mergeCell ref="E99:E101"/>
    <mergeCell ref="I100:I101"/>
    <mergeCell ref="H127:H128"/>
    <mergeCell ref="E126:E128"/>
    <mergeCell ref="D110:D117"/>
    <mergeCell ref="I102:I109"/>
    <mergeCell ref="I110:I117"/>
    <mergeCell ref="G126:I126"/>
    <mergeCell ref="I127:I128"/>
    <mergeCell ref="C91:C98"/>
    <mergeCell ref="D91:D98"/>
    <mergeCell ref="E91:E98"/>
    <mergeCell ref="F91:F98"/>
    <mergeCell ref="C228:C235"/>
    <mergeCell ref="D228:D235"/>
    <mergeCell ref="E228:E235"/>
    <mergeCell ref="F228:F235"/>
    <mergeCell ref="J228:J235"/>
    <mergeCell ref="H186:H187"/>
    <mergeCell ref="C185:C187"/>
    <mergeCell ref="D185:D187"/>
    <mergeCell ref="F185:F187"/>
    <mergeCell ref="J185:J187"/>
    <mergeCell ref="G186:G187"/>
    <mergeCell ref="J188:J195"/>
    <mergeCell ref="C212:C219"/>
    <mergeCell ref="D212:D219"/>
    <mergeCell ref="E212:E219"/>
    <mergeCell ref="F212:F219"/>
    <mergeCell ref="J212:J219"/>
    <mergeCell ref="C188:C195"/>
    <mergeCell ref="D188:D195"/>
    <mergeCell ref="E188:E195"/>
    <mergeCell ref="F188:F195"/>
    <mergeCell ref="C204:C211"/>
    <mergeCell ref="C220:C227"/>
    <mergeCell ref="F204:F211"/>
    <mergeCell ref="K212:K219"/>
    <mergeCell ref="K220:K227"/>
    <mergeCell ref="J220:J227"/>
    <mergeCell ref="J196:J203"/>
    <mergeCell ref="J204:J211"/>
    <mergeCell ref="C153:C160"/>
    <mergeCell ref="D153:D160"/>
    <mergeCell ref="E153:E160"/>
    <mergeCell ref="F153:F160"/>
    <mergeCell ref="J153:J160"/>
    <mergeCell ref="C177:C184"/>
    <mergeCell ref="D177:D184"/>
    <mergeCell ref="E177:E184"/>
    <mergeCell ref="F177:F184"/>
    <mergeCell ref="J177:J184"/>
    <mergeCell ref="C196:C203"/>
    <mergeCell ref="E185:E187"/>
    <mergeCell ref="C161:C168"/>
    <mergeCell ref="D161:D168"/>
    <mergeCell ref="D196:D203"/>
    <mergeCell ref="D204:D211"/>
    <mergeCell ref="D220:D227"/>
    <mergeCell ref="F161:F168"/>
    <mergeCell ref="F196:F203"/>
    <mergeCell ref="F220:F227"/>
    <mergeCell ref="E13:E14"/>
    <mergeCell ref="F13:J14"/>
    <mergeCell ref="F15:J15"/>
    <mergeCell ref="J129:J136"/>
    <mergeCell ref="J75:J82"/>
    <mergeCell ref="F64:F71"/>
    <mergeCell ref="J64:J71"/>
    <mergeCell ref="G22:G23"/>
    <mergeCell ref="H22:H23"/>
    <mergeCell ref="G21:I21"/>
    <mergeCell ref="I22:I23"/>
    <mergeCell ref="I24:I31"/>
    <mergeCell ref="I40:I47"/>
    <mergeCell ref="I48:I55"/>
    <mergeCell ref="I64:I71"/>
    <mergeCell ref="G72:I72"/>
    <mergeCell ref="I73:I74"/>
    <mergeCell ref="I75:I82"/>
    <mergeCell ref="I83:I90"/>
    <mergeCell ref="I91:I98"/>
    <mergeCell ref="G99:I99"/>
    <mergeCell ref="G185:I185"/>
    <mergeCell ref="I186:I187"/>
    <mergeCell ref="K228:K235"/>
    <mergeCell ref="K196:K203"/>
    <mergeCell ref="K21:K23"/>
    <mergeCell ref="K24:K31"/>
    <mergeCell ref="K40:K47"/>
    <mergeCell ref="K48:K55"/>
    <mergeCell ref="K64:K71"/>
    <mergeCell ref="K72:K74"/>
    <mergeCell ref="K99:K101"/>
    <mergeCell ref="K126:K128"/>
    <mergeCell ref="K185:K187"/>
    <mergeCell ref="K75:K82"/>
    <mergeCell ref="K83:K90"/>
    <mergeCell ref="K91:K98"/>
    <mergeCell ref="K102:K109"/>
    <mergeCell ref="K110:K117"/>
    <mergeCell ref="K118:K125"/>
    <mergeCell ref="K129:K136"/>
    <mergeCell ref="K137:K144"/>
    <mergeCell ref="K145:K152"/>
    <mergeCell ref="K153:K160"/>
    <mergeCell ref="K161:K168"/>
    <mergeCell ref="K177:K184"/>
    <mergeCell ref="K188:K195"/>
    <mergeCell ref="B24:B31"/>
    <mergeCell ref="B21:B23"/>
    <mergeCell ref="B40:B47"/>
    <mergeCell ref="B48:B55"/>
    <mergeCell ref="B64:B71"/>
    <mergeCell ref="B72:B74"/>
    <mergeCell ref="B75:B82"/>
    <mergeCell ref="B83:B90"/>
    <mergeCell ref="B91:B98"/>
    <mergeCell ref="B32:B39"/>
    <mergeCell ref="B56:B63"/>
    <mergeCell ref="B99:B101"/>
    <mergeCell ref="B102:B109"/>
    <mergeCell ref="B110:B117"/>
    <mergeCell ref="B118:B125"/>
    <mergeCell ref="B126:B128"/>
    <mergeCell ref="B129:B136"/>
    <mergeCell ref="B137:B144"/>
    <mergeCell ref="B145:B152"/>
    <mergeCell ref="B153:B160"/>
    <mergeCell ref="B161:B168"/>
    <mergeCell ref="B177:B184"/>
    <mergeCell ref="B185:B187"/>
    <mergeCell ref="B188:B195"/>
    <mergeCell ref="B196:B203"/>
    <mergeCell ref="B204:B211"/>
    <mergeCell ref="B212:B219"/>
    <mergeCell ref="B220:B227"/>
    <mergeCell ref="B228:B235"/>
    <mergeCell ref="B169:B176"/>
    <mergeCell ref="L21:L23"/>
    <mergeCell ref="L24:L31"/>
    <mergeCell ref="L40:L47"/>
    <mergeCell ref="L48:L55"/>
    <mergeCell ref="L64:L71"/>
    <mergeCell ref="L72:L74"/>
    <mergeCell ref="L75:L82"/>
    <mergeCell ref="L83:L90"/>
    <mergeCell ref="L91:L98"/>
    <mergeCell ref="L56:L63"/>
    <mergeCell ref="L32:L39"/>
    <mergeCell ref="M169:M176"/>
    <mergeCell ref="L220:L227"/>
    <mergeCell ref="L228:L235"/>
    <mergeCell ref="L99:L101"/>
    <mergeCell ref="L102:L109"/>
    <mergeCell ref="L110:L117"/>
    <mergeCell ref="L118:L125"/>
    <mergeCell ref="L126:L128"/>
    <mergeCell ref="L129:L136"/>
    <mergeCell ref="L137:L144"/>
    <mergeCell ref="L145:L152"/>
    <mergeCell ref="L153:L160"/>
    <mergeCell ref="L161:L168"/>
    <mergeCell ref="L177:L184"/>
    <mergeCell ref="L185:L187"/>
    <mergeCell ref="L188:L195"/>
    <mergeCell ref="L196:L203"/>
    <mergeCell ref="L204:L211"/>
    <mergeCell ref="L212:L219"/>
    <mergeCell ref="L169:L176"/>
    <mergeCell ref="M32:M39"/>
    <mergeCell ref="M188:M195"/>
    <mergeCell ref="M196:M203"/>
    <mergeCell ref="M204:M211"/>
    <mergeCell ref="M212:M219"/>
    <mergeCell ref="M21:M23"/>
    <mergeCell ref="M24:M31"/>
    <mergeCell ref="M40:M47"/>
    <mergeCell ref="M48:M55"/>
    <mergeCell ref="M64:M71"/>
    <mergeCell ref="M72:M74"/>
    <mergeCell ref="M75:M82"/>
    <mergeCell ref="M83:M90"/>
    <mergeCell ref="M91:M98"/>
    <mergeCell ref="M118:M125"/>
    <mergeCell ref="M126:M128"/>
    <mergeCell ref="M129:M136"/>
    <mergeCell ref="M137:M144"/>
    <mergeCell ref="M145:M152"/>
    <mergeCell ref="M153:M160"/>
    <mergeCell ref="M161:M168"/>
    <mergeCell ref="M177:M184"/>
    <mergeCell ref="M185:M187"/>
    <mergeCell ref="M56:M63"/>
    <mergeCell ref="K204:K211"/>
    <mergeCell ref="O220:O227"/>
    <mergeCell ref="O228:O235"/>
    <mergeCell ref="O99:O101"/>
    <mergeCell ref="O102:O109"/>
    <mergeCell ref="O110:O117"/>
    <mergeCell ref="O118:O125"/>
    <mergeCell ref="O126:O128"/>
    <mergeCell ref="O129:O136"/>
    <mergeCell ref="O137:O144"/>
    <mergeCell ref="O145:O152"/>
    <mergeCell ref="O153:O160"/>
    <mergeCell ref="O161:O168"/>
    <mergeCell ref="O177:O184"/>
    <mergeCell ref="O185:O187"/>
    <mergeCell ref="O188:O195"/>
    <mergeCell ref="O196:O203"/>
    <mergeCell ref="O204:O211"/>
    <mergeCell ref="O212:O219"/>
    <mergeCell ref="M220:M227"/>
    <mergeCell ref="M228:M235"/>
    <mergeCell ref="M99:M101"/>
    <mergeCell ref="M102:M109"/>
    <mergeCell ref="M110:M117"/>
    <mergeCell ref="C56:C63"/>
    <mergeCell ref="D56:D63"/>
    <mergeCell ref="E56:E63"/>
    <mergeCell ref="F56:F63"/>
    <mergeCell ref="J56:J63"/>
    <mergeCell ref="K56:K63"/>
    <mergeCell ref="C169:C176"/>
    <mergeCell ref="D169:D176"/>
    <mergeCell ref="E161:E168"/>
    <mergeCell ref="E169:E176"/>
    <mergeCell ref="F169:F176"/>
    <mergeCell ref="I169:I176"/>
    <mergeCell ref="J169:J176"/>
    <mergeCell ref="K169:K176"/>
    <mergeCell ref="C102:C109"/>
    <mergeCell ref="D102:D109"/>
    <mergeCell ref="E102:E109"/>
    <mergeCell ref="F102:F109"/>
    <mergeCell ref="J102:J109"/>
    <mergeCell ref="C126:C128"/>
    <mergeCell ref="D126:D128"/>
    <mergeCell ref="F126:F128"/>
    <mergeCell ref="J126:J128"/>
    <mergeCell ref="G127:G128"/>
    <mergeCell ref="N126:N128"/>
    <mergeCell ref="N129:N136"/>
    <mergeCell ref="N137:N144"/>
    <mergeCell ref="N21:N23"/>
    <mergeCell ref="N24:N31"/>
    <mergeCell ref="O32:O39"/>
    <mergeCell ref="N40:N47"/>
    <mergeCell ref="N48:N55"/>
    <mergeCell ref="N56:N63"/>
    <mergeCell ref="N64:N71"/>
    <mergeCell ref="N72:N74"/>
    <mergeCell ref="N75:N82"/>
    <mergeCell ref="O21:O23"/>
    <mergeCell ref="O24:O31"/>
    <mergeCell ref="O40:O47"/>
    <mergeCell ref="O48:O55"/>
    <mergeCell ref="O64:O71"/>
    <mergeCell ref="O72:O74"/>
    <mergeCell ref="O75:O82"/>
    <mergeCell ref="O83:O90"/>
    <mergeCell ref="O91:O98"/>
    <mergeCell ref="O56:O63"/>
    <mergeCell ref="N212:N219"/>
    <mergeCell ref="N220:N227"/>
    <mergeCell ref="N228:N235"/>
    <mergeCell ref="N32:N39"/>
    <mergeCell ref="E110:E117"/>
    <mergeCell ref="E145:E152"/>
    <mergeCell ref="E196:E203"/>
    <mergeCell ref="E204:E211"/>
    <mergeCell ref="E220:E227"/>
    <mergeCell ref="N145:N152"/>
    <mergeCell ref="N153:N160"/>
    <mergeCell ref="N161:N168"/>
    <mergeCell ref="N169:N176"/>
    <mergeCell ref="N177:N184"/>
    <mergeCell ref="N185:N187"/>
    <mergeCell ref="N188:N195"/>
    <mergeCell ref="N196:N203"/>
    <mergeCell ref="N204:N211"/>
    <mergeCell ref="N83:N90"/>
    <mergeCell ref="N91:N98"/>
    <mergeCell ref="N99:N101"/>
    <mergeCell ref="N102:N109"/>
    <mergeCell ref="N110:N117"/>
    <mergeCell ref="N118:N125"/>
  </mergeCells>
  <dataValidations disablePrompts="1" count="1">
    <dataValidation type="list" allowBlank="1" showInputMessage="1" showErrorMessage="1" sqref="F177:F184 J75:J98 J102:J125 F75:F98 J177 F102:F125 J228 F40:F71 F228:F235 F129:F145 J169 F188:F196 F204 F212:F220 J129 J137 J145 J153 J161 J188 J196 J204 J212 J220 F24:F32 J24:J32 F169 J40:J56 J64:J71 F153 F161">
      <formula1>"1,2,3"</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83A343"/>
  </sheetPr>
  <dimension ref="B5:P160"/>
  <sheetViews>
    <sheetView showGridLines="0" topLeftCell="A110" zoomScale="80" zoomScaleNormal="80" workbookViewId="0">
      <selection activeCell="E110" sqref="E110:E117"/>
    </sheetView>
  </sheetViews>
  <sheetFormatPr baseColWidth="10" defaultColWidth="3.140625" defaultRowHeight="22.5" customHeight="1" x14ac:dyDescent="0.3"/>
  <cols>
    <col min="1" max="1" width="2.5703125" style="12" customWidth="1"/>
    <col min="2" max="2" width="3.42578125" style="12" hidden="1" customWidth="1"/>
    <col min="3" max="4" width="42.5703125" style="12" customWidth="1"/>
    <col min="5" max="5" width="41" style="12" customWidth="1"/>
    <col min="6" max="6" width="7.42578125" style="12" customWidth="1"/>
    <col min="7" max="7" width="3.5703125" style="12" bestFit="1" customWidth="1"/>
    <col min="8" max="8" width="38.85546875" style="12" customWidth="1"/>
    <col min="9" max="9" width="47.28515625" style="12" customWidth="1"/>
    <col min="10" max="10" width="7.42578125" style="12" customWidth="1"/>
    <col min="11" max="11" width="16.140625" style="12" customWidth="1"/>
    <col min="12" max="12" width="4.7109375" style="84" customWidth="1"/>
    <col min="13" max="13" width="7.5703125" style="84" customWidth="1"/>
    <col min="14" max="14" width="6.28515625" style="85" customWidth="1"/>
    <col min="15" max="15" width="6.28515625" style="112" customWidth="1"/>
    <col min="16" max="16" width="3.140625" style="113" customWidth="1"/>
    <col min="17" max="16364" width="3.140625" style="12" customWidth="1"/>
    <col min="16365" max="16384" width="3.140625" style="12"/>
  </cols>
  <sheetData>
    <row r="5" spans="2:16" ht="9.9499999999999993" customHeight="1" x14ac:dyDescent="0.3"/>
    <row r="6" spans="2:16" ht="31.5" customHeight="1" x14ac:dyDescent="0.3"/>
    <row r="7" spans="2:16" ht="30.75" customHeight="1" x14ac:dyDescent="0.3">
      <c r="E7" s="16"/>
      <c r="F7" s="16"/>
    </row>
    <row r="8" spans="2:16" ht="20.25" customHeight="1" x14ac:dyDescent="0.3"/>
    <row r="9" spans="2:16" ht="9.9499999999999993" customHeight="1" x14ac:dyDescent="0.3"/>
    <row r="10" spans="2:16" ht="19.7" customHeight="1" x14ac:dyDescent="0.3">
      <c r="C10" s="460" t="s">
        <v>197</v>
      </c>
      <c r="D10" s="460"/>
      <c r="E10" s="460"/>
      <c r="F10" s="460"/>
      <c r="G10" s="460"/>
      <c r="H10" s="460"/>
      <c r="I10" s="460"/>
      <c r="J10" s="460"/>
      <c r="K10" s="460"/>
    </row>
    <row r="11" spans="2:16" ht="71.25" customHeight="1" x14ac:dyDescent="0.3">
      <c r="C11" s="422" t="s">
        <v>198</v>
      </c>
      <c r="D11" s="422"/>
      <c r="E11" s="422"/>
      <c r="F11" s="422"/>
      <c r="G11" s="422"/>
      <c r="H11" s="422"/>
      <c r="I11" s="422"/>
      <c r="J11" s="422"/>
      <c r="K11" s="422"/>
    </row>
    <row r="12" spans="2:16" ht="9.9499999999999993" customHeight="1" x14ac:dyDescent="0.3">
      <c r="C12" s="13"/>
      <c r="D12" s="13"/>
      <c r="F12" s="14"/>
    </row>
    <row r="13" spans="2:16" ht="36.75" customHeight="1" x14ac:dyDescent="0.3">
      <c r="B13" s="445" t="s">
        <v>110</v>
      </c>
      <c r="C13" s="451" t="s">
        <v>199</v>
      </c>
      <c r="D13" s="465" t="s">
        <v>8</v>
      </c>
      <c r="E13" s="465" t="s">
        <v>200</v>
      </c>
      <c r="F13" s="452" t="s">
        <v>201</v>
      </c>
      <c r="G13" s="463" t="s">
        <v>115</v>
      </c>
      <c r="H13" s="464"/>
      <c r="I13" s="464"/>
      <c r="J13" s="452" t="s">
        <v>202</v>
      </c>
      <c r="K13" s="452" t="s">
        <v>143</v>
      </c>
      <c r="L13" s="492"/>
      <c r="M13" s="492"/>
      <c r="N13" s="441"/>
      <c r="O13" s="494"/>
      <c r="P13" s="496"/>
    </row>
    <row r="14" spans="2:16" ht="29.25" customHeight="1" x14ac:dyDescent="0.3">
      <c r="B14" s="446"/>
      <c r="C14" s="446"/>
      <c r="D14" s="467"/>
      <c r="E14" s="467"/>
      <c r="F14" s="452"/>
      <c r="G14" s="489" t="s">
        <v>13</v>
      </c>
      <c r="H14" s="465" t="s">
        <v>15</v>
      </c>
      <c r="I14" s="465" t="s">
        <v>17</v>
      </c>
      <c r="J14" s="452"/>
      <c r="K14" s="452"/>
      <c r="L14" s="492"/>
      <c r="M14" s="492"/>
      <c r="N14" s="441"/>
      <c r="O14" s="494"/>
      <c r="P14" s="496"/>
    </row>
    <row r="15" spans="2:16" ht="99.75" customHeight="1" thickBot="1" x14ac:dyDescent="0.35">
      <c r="B15" s="447"/>
      <c r="C15" s="447"/>
      <c r="D15" s="468"/>
      <c r="E15" s="468"/>
      <c r="F15" s="453"/>
      <c r="G15" s="490"/>
      <c r="H15" s="466"/>
      <c r="I15" s="466"/>
      <c r="J15" s="453"/>
      <c r="K15" s="453"/>
      <c r="L15" s="492"/>
      <c r="M15" s="492"/>
      <c r="N15" s="441"/>
      <c r="O15" s="494"/>
      <c r="P15" s="496"/>
    </row>
    <row r="16" spans="2:16" ht="48" customHeight="1" x14ac:dyDescent="0.3">
      <c r="B16" s="335" t="str">
        <f>+LEFT(C16,3)</f>
        <v>6.1</v>
      </c>
      <c r="C16" s="454" t="s">
        <v>203</v>
      </c>
      <c r="D16" s="317" t="s">
        <v>204</v>
      </c>
      <c r="E16" s="406" t="s">
        <v>205</v>
      </c>
      <c r="F16" s="320">
        <v>3</v>
      </c>
      <c r="G16" s="118">
        <v>1</v>
      </c>
      <c r="H16" s="227" t="s">
        <v>603</v>
      </c>
      <c r="I16" s="329" t="s">
        <v>602</v>
      </c>
      <c r="J16" s="344">
        <v>3</v>
      </c>
      <c r="K16" s="373" t="str">
        <f>+IF(OR(ISBLANK(F16),ISBLANK(J16)),"",IF(OR(AND(F16=1,J16=1),AND(F16=1,J16=2),AND(F16=1,J16=3)),"Deficiencia de control mayor (diseño y ejecución)",IF(OR(AND(F16=2,J16=2),AND(F16=3,J16=1),AND(F16=3,J16=2),AND(F16=2,J16=1)),"Deficiencia de control (diseño o ejecución)",IF(AND(F16=2,J16=3),"Oportunidad de mejora","Mantenimiento del control"))))</f>
        <v>Mantenimiento del control</v>
      </c>
      <c r="L16" s="357">
        <f>+IF(K16="",75,IF(K16="Deficiencia de control mayor (diseño y ejecución)",80,IF(K16="Deficiencia de control (diseño o ejecución)",100,IF(K16="Oportunidad de mejora",120,140))))</f>
        <v>140</v>
      </c>
      <c r="M16" s="493">
        <v>1.7896000000000001</v>
      </c>
      <c r="N16" s="439">
        <f>+L16+M16</f>
        <v>141.78960000000001</v>
      </c>
      <c r="P16" s="497"/>
    </row>
    <row r="17" spans="2:16" ht="26.25" customHeight="1" x14ac:dyDescent="0.3">
      <c r="B17" s="336"/>
      <c r="C17" s="455"/>
      <c r="D17" s="318"/>
      <c r="E17" s="407"/>
      <c r="F17" s="321"/>
      <c r="G17" s="115">
        <v>2</v>
      </c>
      <c r="H17" s="207" t="s">
        <v>601</v>
      </c>
      <c r="I17" s="330"/>
      <c r="J17" s="345"/>
      <c r="K17" s="374"/>
      <c r="L17" s="357"/>
      <c r="M17" s="493"/>
      <c r="N17" s="439"/>
      <c r="P17" s="497"/>
    </row>
    <row r="18" spans="2:16" ht="26.25" customHeight="1" x14ac:dyDescent="0.3">
      <c r="B18" s="336"/>
      <c r="C18" s="455"/>
      <c r="D18" s="318"/>
      <c r="E18" s="407"/>
      <c r="F18" s="321"/>
      <c r="G18" s="115">
        <v>3</v>
      </c>
      <c r="H18" s="170" t="s">
        <v>161</v>
      </c>
      <c r="I18" s="330"/>
      <c r="J18" s="345"/>
      <c r="K18" s="374"/>
      <c r="L18" s="357"/>
      <c r="M18" s="493"/>
      <c r="N18" s="439"/>
      <c r="P18" s="497"/>
    </row>
    <row r="19" spans="2:16" ht="26.25" customHeight="1" x14ac:dyDescent="0.3">
      <c r="B19" s="336"/>
      <c r="C19" s="455"/>
      <c r="D19" s="318"/>
      <c r="E19" s="407"/>
      <c r="F19" s="321"/>
      <c r="G19" s="115">
        <v>4</v>
      </c>
      <c r="H19" s="209" t="s">
        <v>604</v>
      </c>
      <c r="I19" s="330"/>
      <c r="J19" s="345"/>
      <c r="K19" s="374"/>
      <c r="L19" s="357"/>
      <c r="M19" s="493"/>
      <c r="N19" s="439"/>
      <c r="P19" s="497"/>
    </row>
    <row r="20" spans="2:16" ht="26.25" customHeight="1" x14ac:dyDescent="0.3">
      <c r="B20" s="336"/>
      <c r="C20" s="455"/>
      <c r="D20" s="318"/>
      <c r="E20" s="407"/>
      <c r="F20" s="321"/>
      <c r="G20" s="115">
        <v>5</v>
      </c>
      <c r="H20" s="115"/>
      <c r="I20" s="330"/>
      <c r="J20" s="345"/>
      <c r="K20" s="374"/>
      <c r="L20" s="357"/>
      <c r="M20" s="493"/>
      <c r="N20" s="439"/>
      <c r="P20" s="497"/>
    </row>
    <row r="21" spans="2:16" ht="26.25" customHeight="1" x14ac:dyDescent="0.3">
      <c r="B21" s="336"/>
      <c r="C21" s="455"/>
      <c r="D21" s="318"/>
      <c r="E21" s="407"/>
      <c r="F21" s="321"/>
      <c r="G21" s="115">
        <v>6</v>
      </c>
      <c r="H21" s="115"/>
      <c r="I21" s="330"/>
      <c r="J21" s="345"/>
      <c r="K21" s="374"/>
      <c r="L21" s="357"/>
      <c r="M21" s="493"/>
      <c r="N21" s="439"/>
      <c r="P21" s="497"/>
    </row>
    <row r="22" spans="2:16" ht="26.25" customHeight="1" x14ac:dyDescent="0.3">
      <c r="B22" s="336"/>
      <c r="C22" s="455"/>
      <c r="D22" s="318"/>
      <c r="E22" s="407"/>
      <c r="F22" s="321"/>
      <c r="G22" s="115">
        <v>7</v>
      </c>
      <c r="H22" s="115"/>
      <c r="I22" s="330"/>
      <c r="J22" s="345"/>
      <c r="K22" s="374"/>
      <c r="L22" s="357"/>
      <c r="M22" s="493"/>
      <c r="N22" s="439"/>
      <c r="P22" s="497"/>
    </row>
    <row r="23" spans="2:16" ht="26.25" customHeight="1" thickBot="1" x14ac:dyDescent="0.35">
      <c r="B23" s="337"/>
      <c r="C23" s="456"/>
      <c r="D23" s="319"/>
      <c r="E23" s="408"/>
      <c r="F23" s="322"/>
      <c r="G23" s="117">
        <v>8</v>
      </c>
      <c r="H23" s="117"/>
      <c r="I23" s="331"/>
      <c r="J23" s="346"/>
      <c r="K23" s="375"/>
      <c r="L23" s="357"/>
      <c r="M23" s="493"/>
      <c r="N23" s="439"/>
      <c r="P23" s="497"/>
    </row>
    <row r="24" spans="2:16" ht="22.5" customHeight="1" thickBot="1" x14ac:dyDescent="0.35">
      <c r="B24" s="442" t="str">
        <f>+LEFT(C24,3)</f>
        <v>6.2</v>
      </c>
      <c r="C24" s="448" t="s">
        <v>206</v>
      </c>
      <c r="D24" s="317" t="s">
        <v>207</v>
      </c>
      <c r="E24" s="406" t="s">
        <v>607</v>
      </c>
      <c r="F24" s="320">
        <v>3</v>
      </c>
      <c r="G24" s="118">
        <v>1</v>
      </c>
      <c r="H24" s="207" t="s">
        <v>601</v>
      </c>
      <c r="I24" s="329" t="s">
        <v>608</v>
      </c>
      <c r="J24" s="320">
        <v>3</v>
      </c>
      <c r="K24" s="373" t="str">
        <f>+IF(OR(ISBLANK(F24),ISBLANK(J24)),"",IF(OR(AND(F24=1,J24=1),AND(F24=1,J24=2),AND(F24=1,J24=3)),"Deficiencia de control mayor (diseño y ejecución)",IF(OR(AND(F24=2,J24=2),AND(F24=3,J24=1),AND(F24=3,J24=2),AND(F24=2,J24=1)),"Deficiencia de control (diseño o ejecución)",IF(AND(F24=2,J24=3),"Oportunidad de mejora","Mantenimiento del control"))))</f>
        <v>Mantenimiento del control</v>
      </c>
      <c r="L24" s="357">
        <f>+IF(K24="",75,IF(K24="Deficiencia de control mayor (diseño y ejecución)",80,IF(K24="Deficiencia de control (diseño o ejecución)",100,IF(K24="Oportunidad de mejora",120,140))))</f>
        <v>140</v>
      </c>
      <c r="M24" s="493">
        <v>1.8895999999999999</v>
      </c>
      <c r="N24" s="439">
        <f>+L24+M24</f>
        <v>141.8896</v>
      </c>
      <c r="O24" s="495"/>
      <c r="P24" s="497"/>
    </row>
    <row r="25" spans="2:16" ht="45" customHeight="1" thickBot="1" x14ac:dyDescent="0.35">
      <c r="B25" s="443"/>
      <c r="C25" s="449"/>
      <c r="D25" s="318"/>
      <c r="E25" s="407"/>
      <c r="F25" s="321"/>
      <c r="G25" s="115">
        <v>2</v>
      </c>
      <c r="H25" s="227" t="s">
        <v>605</v>
      </c>
      <c r="I25" s="330"/>
      <c r="J25" s="321"/>
      <c r="K25" s="374"/>
      <c r="L25" s="357"/>
      <c r="M25" s="493"/>
      <c r="N25" s="439"/>
      <c r="O25" s="495"/>
      <c r="P25" s="497"/>
    </row>
    <row r="26" spans="2:16" ht="48" customHeight="1" thickBot="1" x14ac:dyDescent="0.35">
      <c r="B26" s="443"/>
      <c r="C26" s="449"/>
      <c r="D26" s="318"/>
      <c r="E26" s="407"/>
      <c r="F26" s="321"/>
      <c r="G26" s="115">
        <v>3</v>
      </c>
      <c r="H26" s="227" t="s">
        <v>606</v>
      </c>
      <c r="I26" s="330"/>
      <c r="J26" s="321"/>
      <c r="K26" s="374"/>
      <c r="L26" s="357"/>
      <c r="M26" s="493"/>
      <c r="N26" s="439"/>
      <c r="O26" s="495"/>
      <c r="P26" s="497"/>
    </row>
    <row r="27" spans="2:16" ht="38.25" customHeight="1" x14ac:dyDescent="0.3">
      <c r="B27" s="443"/>
      <c r="C27" s="449"/>
      <c r="D27" s="318"/>
      <c r="E27" s="407"/>
      <c r="F27" s="321"/>
      <c r="G27" s="115">
        <v>4</v>
      </c>
      <c r="H27" s="227" t="s">
        <v>603</v>
      </c>
      <c r="I27" s="330"/>
      <c r="J27" s="321"/>
      <c r="K27" s="374"/>
      <c r="L27" s="357"/>
      <c r="M27" s="493"/>
      <c r="N27" s="439"/>
      <c r="O27" s="495"/>
      <c r="P27" s="497"/>
    </row>
    <row r="28" spans="2:16" ht="23.25" customHeight="1" x14ac:dyDescent="0.3">
      <c r="B28" s="443"/>
      <c r="C28" s="449"/>
      <c r="D28" s="318"/>
      <c r="E28" s="407"/>
      <c r="F28" s="321"/>
      <c r="G28" s="115">
        <v>5</v>
      </c>
      <c r="H28" s="229" t="s">
        <v>604</v>
      </c>
      <c r="I28" s="330"/>
      <c r="J28" s="321"/>
      <c r="K28" s="374"/>
      <c r="L28" s="357"/>
      <c r="M28" s="493"/>
      <c r="N28" s="439"/>
      <c r="O28" s="495"/>
      <c r="P28" s="497"/>
    </row>
    <row r="29" spans="2:16" ht="22.5" customHeight="1" x14ac:dyDescent="0.3">
      <c r="B29" s="443"/>
      <c r="C29" s="449"/>
      <c r="D29" s="318"/>
      <c r="E29" s="407"/>
      <c r="F29" s="321"/>
      <c r="G29" s="115">
        <v>6</v>
      </c>
      <c r="H29" s="155"/>
      <c r="I29" s="330"/>
      <c r="J29" s="321"/>
      <c r="K29" s="374"/>
      <c r="L29" s="357"/>
      <c r="M29" s="493"/>
      <c r="N29" s="439"/>
      <c r="O29" s="495"/>
      <c r="P29" s="497"/>
    </row>
    <row r="30" spans="2:16" ht="22.5" customHeight="1" x14ac:dyDescent="0.3">
      <c r="B30" s="443"/>
      <c r="C30" s="449"/>
      <c r="D30" s="318"/>
      <c r="E30" s="407"/>
      <c r="F30" s="321"/>
      <c r="G30" s="115">
        <v>7</v>
      </c>
      <c r="H30" s="155"/>
      <c r="I30" s="330"/>
      <c r="J30" s="321"/>
      <c r="K30" s="374"/>
      <c r="L30" s="357"/>
      <c r="M30" s="493"/>
      <c r="N30" s="439"/>
      <c r="O30" s="495"/>
      <c r="P30" s="497"/>
    </row>
    <row r="31" spans="2:16" ht="22.5" customHeight="1" thickBot="1" x14ac:dyDescent="0.35">
      <c r="B31" s="444"/>
      <c r="C31" s="450"/>
      <c r="D31" s="319"/>
      <c r="E31" s="408"/>
      <c r="F31" s="322"/>
      <c r="G31" s="117">
        <v>8</v>
      </c>
      <c r="H31" s="156"/>
      <c r="I31" s="331"/>
      <c r="J31" s="322"/>
      <c r="K31" s="375"/>
      <c r="L31" s="357"/>
      <c r="M31" s="493"/>
      <c r="N31" s="439"/>
      <c r="O31" s="495"/>
      <c r="P31" s="497"/>
    </row>
    <row r="32" spans="2:16" ht="22.5" customHeight="1" thickBot="1" x14ac:dyDescent="0.35">
      <c r="B32" s="448" t="str">
        <f>+LEFT(C32,3)</f>
        <v>6.3</v>
      </c>
      <c r="C32" s="448" t="s">
        <v>208</v>
      </c>
      <c r="D32" s="317" t="s">
        <v>209</v>
      </c>
      <c r="E32" s="406" t="s">
        <v>610</v>
      </c>
      <c r="F32" s="320">
        <v>3</v>
      </c>
      <c r="G32" s="118">
        <v>1</v>
      </c>
      <c r="H32" s="207" t="s">
        <v>601</v>
      </c>
      <c r="I32" s="329" t="s">
        <v>611</v>
      </c>
      <c r="J32" s="320">
        <v>3</v>
      </c>
      <c r="K32" s="373" t="str">
        <f>+IF(OR(ISBLANK(F32),ISBLANK(J32)),"",IF(OR(AND(F32=1,J32=1),AND(F32=1,J32=2),AND(F32=1,J32=3)),"Deficiencia de control mayor (diseño y ejecución)",IF(OR(AND(F32=2,J32=2),AND(F32=3,J32=1),AND(F32=3,J32=2),AND(F32=2,J32=1)),"Deficiencia de control (diseño o ejecución)",IF(AND(F32=2,J32=3),"Oportunidad de mejora","Mantenimiento del control"))))</f>
        <v>Mantenimiento del control</v>
      </c>
      <c r="L32" s="357">
        <f>+IF(K32="",75,IF(K32="Deficiencia de control mayor (diseño y ejecución)",80,IF(K32="Deficiencia de control (diseño o ejecución)",100,IF(K32="Oportunidad de mejora",120,140))))</f>
        <v>140</v>
      </c>
      <c r="M32" s="493">
        <v>1.9754</v>
      </c>
      <c r="N32" s="439">
        <f>+L32+M32</f>
        <v>141.97540000000001</v>
      </c>
      <c r="O32" s="495"/>
      <c r="P32" s="497"/>
    </row>
    <row r="33" spans="2:16" ht="36.75" customHeight="1" x14ac:dyDescent="0.3">
      <c r="B33" s="449"/>
      <c r="C33" s="449"/>
      <c r="D33" s="318"/>
      <c r="E33" s="407"/>
      <c r="F33" s="321"/>
      <c r="G33" s="115">
        <v>2</v>
      </c>
      <c r="H33" s="227" t="s">
        <v>606</v>
      </c>
      <c r="I33" s="330"/>
      <c r="J33" s="321"/>
      <c r="K33" s="374"/>
      <c r="L33" s="357"/>
      <c r="M33" s="493"/>
      <c r="N33" s="439"/>
      <c r="O33" s="495"/>
      <c r="P33" s="497"/>
    </row>
    <row r="34" spans="2:16" ht="22.5" customHeight="1" x14ac:dyDescent="0.3">
      <c r="B34" s="449"/>
      <c r="C34" s="449"/>
      <c r="D34" s="318"/>
      <c r="E34" s="407"/>
      <c r="F34" s="321"/>
      <c r="G34" s="115">
        <v>3</v>
      </c>
      <c r="H34" s="209" t="s">
        <v>609</v>
      </c>
      <c r="I34" s="330"/>
      <c r="J34" s="321"/>
      <c r="K34" s="374"/>
      <c r="L34" s="357"/>
      <c r="M34" s="493"/>
      <c r="N34" s="439"/>
      <c r="O34" s="495"/>
      <c r="P34" s="497"/>
    </row>
    <row r="35" spans="2:16" ht="22.5" customHeight="1" x14ac:dyDescent="0.3">
      <c r="B35" s="449"/>
      <c r="C35" s="449"/>
      <c r="D35" s="318"/>
      <c r="E35" s="407"/>
      <c r="F35" s="321"/>
      <c r="G35" s="115">
        <v>4</v>
      </c>
      <c r="H35" s="155"/>
      <c r="I35" s="330"/>
      <c r="J35" s="321"/>
      <c r="K35" s="374"/>
      <c r="L35" s="357"/>
      <c r="M35" s="493"/>
      <c r="N35" s="439"/>
      <c r="O35" s="495"/>
      <c r="P35" s="497"/>
    </row>
    <row r="36" spans="2:16" ht="22.5" customHeight="1" x14ac:dyDescent="0.3">
      <c r="B36" s="449"/>
      <c r="C36" s="449"/>
      <c r="D36" s="318"/>
      <c r="E36" s="407"/>
      <c r="F36" s="321"/>
      <c r="G36" s="115">
        <v>5</v>
      </c>
      <c r="H36" s="155"/>
      <c r="I36" s="330"/>
      <c r="J36" s="321"/>
      <c r="K36" s="374"/>
      <c r="L36" s="357"/>
      <c r="M36" s="493"/>
      <c r="N36" s="439"/>
      <c r="O36" s="495"/>
      <c r="P36" s="497"/>
    </row>
    <row r="37" spans="2:16" ht="22.5" customHeight="1" x14ac:dyDescent="0.3">
      <c r="B37" s="449"/>
      <c r="C37" s="449"/>
      <c r="D37" s="318"/>
      <c r="E37" s="407"/>
      <c r="F37" s="321"/>
      <c r="G37" s="115">
        <v>6</v>
      </c>
      <c r="H37" s="155"/>
      <c r="I37" s="330"/>
      <c r="J37" s="321"/>
      <c r="K37" s="374"/>
      <c r="L37" s="357"/>
      <c r="M37" s="493"/>
      <c r="N37" s="439"/>
      <c r="O37" s="495"/>
      <c r="P37" s="497"/>
    </row>
    <row r="38" spans="2:16" ht="22.5" customHeight="1" x14ac:dyDescent="0.3">
      <c r="B38" s="449"/>
      <c r="C38" s="449"/>
      <c r="D38" s="318"/>
      <c r="E38" s="407"/>
      <c r="F38" s="321"/>
      <c r="G38" s="115">
        <v>7</v>
      </c>
      <c r="H38" s="155"/>
      <c r="I38" s="330"/>
      <c r="J38" s="321"/>
      <c r="K38" s="374"/>
      <c r="L38" s="357"/>
      <c r="M38" s="493"/>
      <c r="N38" s="439"/>
      <c r="O38" s="495"/>
      <c r="P38" s="497"/>
    </row>
    <row r="39" spans="2:16" ht="22.5" customHeight="1" thickBot="1" x14ac:dyDescent="0.35">
      <c r="B39" s="450"/>
      <c r="C39" s="450"/>
      <c r="D39" s="319"/>
      <c r="E39" s="408"/>
      <c r="F39" s="322"/>
      <c r="G39" s="117">
        <v>8</v>
      </c>
      <c r="H39" s="156"/>
      <c r="I39" s="331"/>
      <c r="J39" s="322"/>
      <c r="K39" s="375"/>
      <c r="L39" s="357"/>
      <c r="M39" s="493"/>
      <c r="N39" s="439"/>
      <c r="O39" s="495"/>
      <c r="P39" s="497"/>
    </row>
    <row r="40" spans="2:16" ht="22.5" customHeight="1" x14ac:dyDescent="0.3">
      <c r="B40" s="451"/>
      <c r="C40" s="451" t="s">
        <v>210</v>
      </c>
      <c r="D40" s="465" t="s">
        <v>8</v>
      </c>
      <c r="E40" s="475" t="s">
        <v>200</v>
      </c>
      <c r="F40" s="473" t="s">
        <v>201</v>
      </c>
      <c r="G40" s="479" t="s">
        <v>115</v>
      </c>
      <c r="H40" s="480"/>
      <c r="I40" s="480"/>
      <c r="J40" s="473" t="s">
        <v>202</v>
      </c>
      <c r="K40" s="461" t="s">
        <v>143</v>
      </c>
      <c r="L40" s="491"/>
      <c r="M40" s="491"/>
      <c r="N40" s="440"/>
      <c r="O40" s="494"/>
      <c r="P40" s="496"/>
    </row>
    <row r="41" spans="2:16" ht="22.5" customHeight="1" x14ac:dyDescent="0.3">
      <c r="B41" s="446"/>
      <c r="C41" s="446"/>
      <c r="D41" s="467"/>
      <c r="E41" s="487"/>
      <c r="F41" s="473"/>
      <c r="G41" s="477" t="s">
        <v>13</v>
      </c>
      <c r="H41" s="475" t="s">
        <v>15</v>
      </c>
      <c r="I41" s="475" t="s">
        <v>17</v>
      </c>
      <c r="J41" s="473"/>
      <c r="K41" s="461"/>
      <c r="L41" s="491"/>
      <c r="M41" s="491"/>
      <c r="N41" s="440"/>
      <c r="O41" s="494"/>
      <c r="P41" s="496"/>
    </row>
    <row r="42" spans="2:16" ht="91.5" customHeight="1" thickBot="1" x14ac:dyDescent="0.35">
      <c r="B42" s="447"/>
      <c r="C42" s="447"/>
      <c r="D42" s="468"/>
      <c r="E42" s="488"/>
      <c r="F42" s="474"/>
      <c r="G42" s="478"/>
      <c r="H42" s="476"/>
      <c r="I42" s="476"/>
      <c r="J42" s="474"/>
      <c r="K42" s="462"/>
      <c r="L42" s="491"/>
      <c r="M42" s="491"/>
      <c r="N42" s="440"/>
      <c r="O42" s="494"/>
      <c r="P42" s="496"/>
    </row>
    <row r="43" spans="2:16" ht="37.5" customHeight="1" x14ac:dyDescent="0.3">
      <c r="B43" s="442" t="str">
        <f>+LEFT(C43,3)</f>
        <v>7.1</v>
      </c>
      <c r="C43" s="469" t="s">
        <v>211</v>
      </c>
      <c r="D43" s="338" t="s">
        <v>204</v>
      </c>
      <c r="E43" s="406" t="s">
        <v>612</v>
      </c>
      <c r="F43" s="320">
        <v>3</v>
      </c>
      <c r="G43" s="118">
        <v>1</v>
      </c>
      <c r="H43" s="208" t="s">
        <v>496</v>
      </c>
      <c r="I43" s="329" t="s">
        <v>212</v>
      </c>
      <c r="J43" s="320">
        <v>3</v>
      </c>
      <c r="K43" s="373" t="str">
        <f>+IF(OR(ISBLANK(F43),ISBLANK(J43)),"",IF(OR(AND(F43=1,J43=1),AND(F43=1,J43=2),AND(F43=1,J43=3)),"Deficiencia de control mayor (diseño y ejecución)",IF(OR(AND(F43=2,J43=2),AND(F43=3,J43=1),AND(F43=3,J43=2),AND(F43=2,J43=1)),"Deficiencia de control (diseño o ejecución)",IF(AND(F43=2,J43=3),"Oportunidad de mejora","Mantenimiento del control"))))</f>
        <v>Mantenimiento del control</v>
      </c>
      <c r="L43" s="357">
        <f>+IF(K43="",75,IF(K43="Deficiencia de control mayor (diseño y ejecución)",80,IF(K43="Deficiencia de control (diseño o ejecución)",100,IF(K43="Oportunidad de mejora",120,140))))</f>
        <v>140</v>
      </c>
      <c r="M43" s="493">
        <v>2.0895999999999999</v>
      </c>
      <c r="N43" s="439">
        <f>+L43+M43</f>
        <v>142.08959999999999</v>
      </c>
      <c r="O43" s="495"/>
      <c r="P43" s="497"/>
    </row>
    <row r="44" spans="2:16" ht="48" customHeight="1" x14ac:dyDescent="0.3">
      <c r="B44" s="443"/>
      <c r="C44" s="470"/>
      <c r="D44" s="339"/>
      <c r="E44" s="407"/>
      <c r="F44" s="321"/>
      <c r="G44" s="115">
        <v>2</v>
      </c>
      <c r="H44" s="228" t="s">
        <v>553</v>
      </c>
      <c r="I44" s="330"/>
      <c r="J44" s="321"/>
      <c r="K44" s="374"/>
      <c r="L44" s="357"/>
      <c r="M44" s="493"/>
      <c r="N44" s="439"/>
      <c r="O44" s="495"/>
      <c r="P44" s="497"/>
    </row>
    <row r="45" spans="2:16" ht="22.5" customHeight="1" x14ac:dyDescent="0.3">
      <c r="B45" s="443"/>
      <c r="C45" s="470"/>
      <c r="D45" s="339"/>
      <c r="E45" s="407"/>
      <c r="F45" s="321"/>
      <c r="G45" s="115">
        <v>3</v>
      </c>
      <c r="H45" s="164" t="s">
        <v>511</v>
      </c>
      <c r="I45" s="330"/>
      <c r="J45" s="321"/>
      <c r="K45" s="374"/>
      <c r="L45" s="357"/>
      <c r="M45" s="493"/>
      <c r="N45" s="439"/>
      <c r="O45" s="495"/>
      <c r="P45" s="497"/>
    </row>
    <row r="46" spans="2:16" ht="42" customHeight="1" x14ac:dyDescent="0.3">
      <c r="B46" s="443"/>
      <c r="C46" s="470"/>
      <c r="D46" s="339"/>
      <c r="E46" s="407"/>
      <c r="F46" s="321"/>
      <c r="G46" s="115">
        <v>4</v>
      </c>
      <c r="H46" s="231" t="s">
        <v>543</v>
      </c>
      <c r="I46" s="330"/>
      <c r="J46" s="321"/>
      <c r="K46" s="374"/>
      <c r="L46" s="357"/>
      <c r="M46" s="493"/>
      <c r="N46" s="439"/>
      <c r="O46" s="495"/>
      <c r="P46" s="497"/>
    </row>
    <row r="47" spans="2:16" ht="38.25" customHeight="1" x14ac:dyDescent="0.3">
      <c r="B47" s="443"/>
      <c r="C47" s="470"/>
      <c r="D47" s="339"/>
      <c r="E47" s="407"/>
      <c r="F47" s="321"/>
      <c r="G47" s="115">
        <v>5</v>
      </c>
      <c r="H47" s="231" t="s">
        <v>616</v>
      </c>
      <c r="I47" s="330"/>
      <c r="J47" s="321"/>
      <c r="K47" s="374"/>
      <c r="L47" s="357"/>
      <c r="M47" s="493"/>
      <c r="N47" s="439"/>
      <c r="O47" s="495"/>
      <c r="P47" s="497"/>
    </row>
    <row r="48" spans="2:16" ht="22.5" customHeight="1" x14ac:dyDescent="0.3">
      <c r="B48" s="443"/>
      <c r="C48" s="470"/>
      <c r="D48" s="339"/>
      <c r="E48" s="407"/>
      <c r="F48" s="321"/>
      <c r="G48" s="115">
        <v>6</v>
      </c>
      <c r="H48" s="231"/>
      <c r="I48" s="330"/>
      <c r="J48" s="321"/>
      <c r="K48" s="374"/>
      <c r="L48" s="357"/>
      <c r="M48" s="493"/>
      <c r="N48" s="439"/>
      <c r="O48" s="495"/>
      <c r="P48" s="497"/>
    </row>
    <row r="49" spans="2:16" ht="22.5" customHeight="1" x14ac:dyDescent="0.3">
      <c r="B49" s="443"/>
      <c r="C49" s="470"/>
      <c r="D49" s="339"/>
      <c r="E49" s="407"/>
      <c r="F49" s="321"/>
      <c r="G49" s="115">
        <v>7</v>
      </c>
      <c r="H49" s="155"/>
      <c r="I49" s="330"/>
      <c r="J49" s="321"/>
      <c r="K49" s="374"/>
      <c r="L49" s="357"/>
      <c r="M49" s="493"/>
      <c r="N49" s="439"/>
      <c r="O49" s="495"/>
      <c r="P49" s="497"/>
    </row>
    <row r="50" spans="2:16" ht="22.5" customHeight="1" thickBot="1" x14ac:dyDescent="0.35">
      <c r="B50" s="444"/>
      <c r="C50" s="471"/>
      <c r="D50" s="340"/>
      <c r="E50" s="408"/>
      <c r="F50" s="322"/>
      <c r="G50" s="117">
        <v>8</v>
      </c>
      <c r="H50" s="156"/>
      <c r="I50" s="331"/>
      <c r="J50" s="322"/>
      <c r="K50" s="375"/>
      <c r="L50" s="357"/>
      <c r="M50" s="493"/>
      <c r="N50" s="439"/>
      <c r="O50" s="495"/>
      <c r="P50" s="497"/>
    </row>
    <row r="51" spans="2:16" ht="38.25" customHeight="1" x14ac:dyDescent="0.3">
      <c r="B51" s="442" t="str">
        <f>+LEFT(C51,3)</f>
        <v>7.2</v>
      </c>
      <c r="C51" s="448" t="s">
        <v>213</v>
      </c>
      <c r="D51" s="317" t="s">
        <v>214</v>
      </c>
      <c r="E51" s="484" t="s">
        <v>617</v>
      </c>
      <c r="F51" s="320">
        <v>3</v>
      </c>
      <c r="G51" s="118">
        <v>1</v>
      </c>
      <c r="H51" s="208" t="s">
        <v>496</v>
      </c>
      <c r="I51" s="329" t="s">
        <v>618</v>
      </c>
      <c r="J51" s="320">
        <v>3</v>
      </c>
      <c r="K51" s="373" t="str">
        <f>+IF(OR(ISBLANK(F51),ISBLANK(J51)),"",IF(OR(AND(F51=1,J51=1),AND(F51=1,J51=2),AND(F51=1,J51=3)),"Deficiencia de control mayor (diseño y ejecución)",IF(OR(AND(F51=2,J51=2),AND(F51=3,J51=1),AND(F51=3,J51=2),AND(F51=2,J51=1)),"Deficiencia de control (diseño o ejecución)",IF(AND(F51=2,J51=3),"Oportunidad de mejora","Mantenimiento del control"))))</f>
        <v>Mantenimiento del control</v>
      </c>
      <c r="L51" s="357">
        <f>+IF(K51="",75,IF(K51="Deficiencia de control mayor (diseño y ejecución)",80,IF(K51="Deficiencia de control (diseño o ejecución)",100,IF(K51="Oportunidad de mejora",120,140))))</f>
        <v>140</v>
      </c>
      <c r="M51" s="493">
        <v>2.1456</v>
      </c>
      <c r="N51" s="439">
        <f>+L51+M51</f>
        <v>142.1456</v>
      </c>
      <c r="O51" s="495"/>
      <c r="P51" s="497"/>
    </row>
    <row r="52" spans="2:16" ht="38.25" customHeight="1" x14ac:dyDescent="0.3">
      <c r="B52" s="443"/>
      <c r="C52" s="449"/>
      <c r="D52" s="318"/>
      <c r="E52" s="485"/>
      <c r="F52" s="321"/>
      <c r="G52" s="115">
        <v>2</v>
      </c>
      <c r="H52" s="231" t="s">
        <v>553</v>
      </c>
      <c r="I52" s="330"/>
      <c r="J52" s="321"/>
      <c r="K52" s="374"/>
      <c r="L52" s="357"/>
      <c r="M52" s="493"/>
      <c r="N52" s="439"/>
      <c r="O52" s="495"/>
      <c r="P52" s="497"/>
    </row>
    <row r="53" spans="2:16" ht="38.25" customHeight="1" x14ac:dyDescent="0.3">
      <c r="B53" s="443"/>
      <c r="C53" s="449"/>
      <c r="D53" s="318"/>
      <c r="E53" s="485"/>
      <c r="F53" s="321"/>
      <c r="G53" s="115">
        <v>3</v>
      </c>
      <c r="H53" s="210" t="s">
        <v>511</v>
      </c>
      <c r="I53" s="330"/>
      <c r="J53" s="321"/>
      <c r="K53" s="374"/>
      <c r="L53" s="357"/>
      <c r="M53" s="493"/>
      <c r="N53" s="439"/>
      <c r="O53" s="495"/>
      <c r="P53" s="497"/>
    </row>
    <row r="54" spans="2:16" ht="38.25" customHeight="1" x14ac:dyDescent="0.3">
      <c r="B54" s="443"/>
      <c r="C54" s="449"/>
      <c r="D54" s="318"/>
      <c r="E54" s="485"/>
      <c r="F54" s="321"/>
      <c r="G54" s="115">
        <v>4</v>
      </c>
      <c r="H54" s="231" t="s">
        <v>543</v>
      </c>
      <c r="I54" s="330"/>
      <c r="J54" s="321"/>
      <c r="K54" s="374"/>
      <c r="L54" s="357"/>
      <c r="M54" s="493"/>
      <c r="N54" s="439"/>
      <c r="O54" s="495"/>
      <c r="P54" s="497"/>
    </row>
    <row r="55" spans="2:16" ht="38.25" customHeight="1" x14ac:dyDescent="0.3">
      <c r="B55" s="443"/>
      <c r="C55" s="449"/>
      <c r="D55" s="318"/>
      <c r="E55" s="485"/>
      <c r="F55" s="321"/>
      <c r="G55" s="115">
        <v>5</v>
      </c>
      <c r="H55" s="231" t="s">
        <v>616</v>
      </c>
      <c r="I55" s="330"/>
      <c r="J55" s="321"/>
      <c r="K55" s="374"/>
      <c r="L55" s="357"/>
      <c r="M55" s="493"/>
      <c r="N55" s="439"/>
      <c r="O55" s="495"/>
      <c r="P55" s="497"/>
    </row>
    <row r="56" spans="2:16" ht="38.25" customHeight="1" x14ac:dyDescent="0.3">
      <c r="B56" s="443"/>
      <c r="C56" s="449"/>
      <c r="D56" s="318"/>
      <c r="E56" s="485"/>
      <c r="F56" s="321"/>
      <c r="G56" s="115">
        <v>6</v>
      </c>
      <c r="H56" s="155"/>
      <c r="I56" s="330"/>
      <c r="J56" s="321"/>
      <c r="K56" s="374"/>
      <c r="L56" s="357"/>
      <c r="M56" s="493"/>
      <c r="N56" s="439"/>
      <c r="O56" s="495"/>
      <c r="P56" s="497"/>
    </row>
    <row r="57" spans="2:16" ht="38.25" customHeight="1" x14ac:dyDescent="0.3">
      <c r="B57" s="443"/>
      <c r="C57" s="449"/>
      <c r="D57" s="318"/>
      <c r="E57" s="485"/>
      <c r="F57" s="321"/>
      <c r="G57" s="115">
        <v>7</v>
      </c>
      <c r="H57" s="155"/>
      <c r="I57" s="330"/>
      <c r="J57" s="321"/>
      <c r="K57" s="374"/>
      <c r="L57" s="357"/>
      <c r="M57" s="493"/>
      <c r="N57" s="439"/>
      <c r="O57" s="495"/>
      <c r="P57" s="497"/>
    </row>
    <row r="58" spans="2:16" ht="38.25" customHeight="1" thickBot="1" x14ac:dyDescent="0.35">
      <c r="B58" s="444"/>
      <c r="C58" s="450"/>
      <c r="D58" s="319"/>
      <c r="E58" s="486"/>
      <c r="F58" s="322"/>
      <c r="G58" s="117">
        <v>8</v>
      </c>
      <c r="H58" s="156"/>
      <c r="I58" s="331"/>
      <c r="J58" s="322"/>
      <c r="K58" s="375"/>
      <c r="L58" s="357"/>
      <c r="M58" s="493"/>
      <c r="N58" s="439"/>
      <c r="O58" s="495"/>
      <c r="P58" s="497"/>
    </row>
    <row r="59" spans="2:16" ht="34.5" customHeight="1" x14ac:dyDescent="0.3">
      <c r="B59" s="442" t="str">
        <f>+LEFT(C59,3)</f>
        <v>7.3</v>
      </c>
      <c r="C59" s="448" t="s">
        <v>215</v>
      </c>
      <c r="D59" s="317" t="s">
        <v>214</v>
      </c>
      <c r="E59" s="484" t="s">
        <v>624</v>
      </c>
      <c r="F59" s="320">
        <v>3</v>
      </c>
      <c r="G59" s="118">
        <v>1</v>
      </c>
      <c r="H59" s="208" t="s">
        <v>496</v>
      </c>
      <c r="I59" s="329" t="s">
        <v>625</v>
      </c>
      <c r="J59" s="320">
        <v>3</v>
      </c>
      <c r="K59" s="373" t="str">
        <f>+IF(OR(ISBLANK(F59),ISBLANK(J59)),"",IF(OR(AND(F59=1,J59=1),AND(F59=1,J59=2),AND(F59=1,J59=3)),"Deficiencia de control mayor (diseño y ejecución)",IF(OR(AND(F59=2,J59=2),AND(F59=3,J59=1),AND(F59=3,J59=2),AND(F59=2,J59=1)),"Deficiencia de control (diseño o ejecución)",IF(AND(F59=2,J59=3),"Oportunidad de mejora","Mantenimiento del control"))))</f>
        <v>Mantenimiento del control</v>
      </c>
      <c r="L59" s="357">
        <f>+IF(K59="",75,IF(K59="Deficiencia de control mayor (diseño y ejecución)",80,IF(K59="Deficiencia de control (diseño o ejecución)",100,IF(K59="Oportunidad de mejora",120,140))))</f>
        <v>140</v>
      </c>
      <c r="M59" s="493">
        <v>2.2364999999999999</v>
      </c>
      <c r="N59" s="439">
        <f>+L59+M59</f>
        <v>142.23650000000001</v>
      </c>
      <c r="O59" s="495"/>
      <c r="P59" s="497"/>
    </row>
    <row r="60" spans="2:16" ht="34.5" customHeight="1" x14ac:dyDescent="0.3">
      <c r="B60" s="443"/>
      <c r="C60" s="449"/>
      <c r="D60" s="318"/>
      <c r="E60" s="485"/>
      <c r="F60" s="321"/>
      <c r="G60" s="115">
        <v>2</v>
      </c>
      <c r="H60" s="231" t="s">
        <v>553</v>
      </c>
      <c r="I60" s="330"/>
      <c r="J60" s="321"/>
      <c r="K60" s="374"/>
      <c r="L60" s="357"/>
      <c r="M60" s="493"/>
      <c r="N60" s="439"/>
      <c r="O60" s="495"/>
      <c r="P60" s="497"/>
    </row>
    <row r="61" spans="2:16" ht="27" customHeight="1" x14ac:dyDescent="0.3">
      <c r="B61" s="443"/>
      <c r="C61" s="449"/>
      <c r="D61" s="318"/>
      <c r="E61" s="485"/>
      <c r="F61" s="321"/>
      <c r="G61" s="115">
        <v>3</v>
      </c>
      <c r="H61" s="210" t="s">
        <v>511</v>
      </c>
      <c r="I61" s="330"/>
      <c r="J61" s="321"/>
      <c r="K61" s="374"/>
      <c r="L61" s="357"/>
      <c r="M61" s="493"/>
      <c r="N61" s="439"/>
      <c r="O61" s="495"/>
      <c r="P61" s="497"/>
    </row>
    <row r="62" spans="2:16" ht="35.25" customHeight="1" x14ac:dyDescent="0.3">
      <c r="B62" s="443"/>
      <c r="C62" s="449"/>
      <c r="D62" s="318"/>
      <c r="E62" s="485"/>
      <c r="F62" s="321"/>
      <c r="G62" s="115">
        <v>4</v>
      </c>
      <c r="H62" s="231" t="s">
        <v>543</v>
      </c>
      <c r="I62" s="330"/>
      <c r="J62" s="321"/>
      <c r="K62" s="374"/>
      <c r="L62" s="357"/>
      <c r="M62" s="493"/>
      <c r="N62" s="439"/>
      <c r="O62" s="495"/>
      <c r="P62" s="497"/>
    </row>
    <row r="63" spans="2:16" ht="33" customHeight="1" x14ac:dyDescent="0.3">
      <c r="B63" s="443"/>
      <c r="C63" s="449"/>
      <c r="D63" s="318"/>
      <c r="E63" s="485"/>
      <c r="F63" s="321"/>
      <c r="G63" s="115">
        <v>5</v>
      </c>
      <c r="H63" s="231" t="s">
        <v>616</v>
      </c>
      <c r="I63" s="330"/>
      <c r="J63" s="321"/>
      <c r="K63" s="374"/>
      <c r="L63" s="357"/>
      <c r="M63" s="493"/>
      <c r="N63" s="439"/>
      <c r="O63" s="495"/>
      <c r="P63" s="497"/>
    </row>
    <row r="64" spans="2:16" ht="30.75" customHeight="1" x14ac:dyDescent="0.3">
      <c r="B64" s="443"/>
      <c r="C64" s="449"/>
      <c r="D64" s="318"/>
      <c r="E64" s="485"/>
      <c r="F64" s="321"/>
      <c r="G64" s="115">
        <v>6</v>
      </c>
      <c r="H64" s="155"/>
      <c r="I64" s="330"/>
      <c r="J64" s="321"/>
      <c r="K64" s="374"/>
      <c r="L64" s="357"/>
      <c r="M64" s="493"/>
      <c r="N64" s="439"/>
      <c r="O64" s="495"/>
      <c r="P64" s="497"/>
    </row>
    <row r="65" spans="2:16" ht="27" customHeight="1" x14ac:dyDescent="0.3">
      <c r="B65" s="443"/>
      <c r="C65" s="449"/>
      <c r="D65" s="318"/>
      <c r="E65" s="485"/>
      <c r="F65" s="321"/>
      <c r="G65" s="115">
        <v>7</v>
      </c>
      <c r="H65" s="155"/>
      <c r="I65" s="330"/>
      <c r="J65" s="321"/>
      <c r="K65" s="374"/>
      <c r="L65" s="357"/>
      <c r="M65" s="493"/>
      <c r="N65" s="439"/>
      <c r="O65" s="495"/>
      <c r="P65" s="497"/>
    </row>
    <row r="66" spans="2:16" ht="84" customHeight="1" thickBot="1" x14ac:dyDescent="0.35">
      <c r="B66" s="444"/>
      <c r="C66" s="450"/>
      <c r="D66" s="319"/>
      <c r="E66" s="486"/>
      <c r="F66" s="322"/>
      <c r="G66" s="117">
        <v>8</v>
      </c>
      <c r="H66" s="156"/>
      <c r="I66" s="331"/>
      <c r="J66" s="322"/>
      <c r="K66" s="375"/>
      <c r="L66" s="357"/>
      <c r="M66" s="493"/>
      <c r="N66" s="439"/>
      <c r="O66" s="495"/>
      <c r="P66" s="497"/>
    </row>
    <row r="67" spans="2:16" ht="34.5" customHeight="1" x14ac:dyDescent="0.3">
      <c r="B67" s="442" t="str">
        <f>+LEFT(C67,3)</f>
        <v>7.4</v>
      </c>
      <c r="C67" s="448" t="s">
        <v>216</v>
      </c>
      <c r="D67" s="317" t="s">
        <v>217</v>
      </c>
      <c r="E67" s="484" t="s">
        <v>623</v>
      </c>
      <c r="F67" s="320">
        <v>3</v>
      </c>
      <c r="G67" s="118">
        <v>1</v>
      </c>
      <c r="H67" s="208" t="s">
        <v>496</v>
      </c>
      <c r="I67" s="329" t="s">
        <v>619</v>
      </c>
      <c r="J67" s="320">
        <v>3</v>
      </c>
      <c r="K67" s="373" t="str">
        <f>+IF(OR(ISBLANK(F67),ISBLANK(J67)),"",IF(OR(AND(F67=1,J67=1),AND(F67=1,J67=2),AND(F67=1,J67=3)),"Deficiencia de control mayor (diseño y ejecución)",IF(OR(AND(F67=2,J67=2),AND(F67=3,J67=1),AND(F67=3,J67=2),AND(F67=2,J67=1)),"Deficiencia de control (diseño o ejecución)",IF(AND(F67=2,J67=3),"Oportunidad de mejora","Mantenimiento del control"))))</f>
        <v>Mantenimiento del control</v>
      </c>
      <c r="L67" s="357">
        <f>+IF(K67="",75,IF(K67="Deficiencia de control mayor (diseño y ejecución)",80,IF(K67="Deficiencia de control (diseño o ejecución)",100,IF(K67="Oportunidad de mejora",120,140))))</f>
        <v>140</v>
      </c>
      <c r="M67" s="493">
        <v>2.3896000000000002</v>
      </c>
      <c r="N67" s="439">
        <f>+L67+M67</f>
        <v>142.3896</v>
      </c>
      <c r="O67" s="495"/>
      <c r="P67" s="497"/>
    </row>
    <row r="68" spans="2:16" ht="39" customHeight="1" x14ac:dyDescent="0.3">
      <c r="B68" s="443"/>
      <c r="C68" s="449"/>
      <c r="D68" s="318"/>
      <c r="E68" s="485"/>
      <c r="F68" s="321"/>
      <c r="G68" s="115">
        <v>2</v>
      </c>
      <c r="H68" s="231" t="s">
        <v>553</v>
      </c>
      <c r="I68" s="330"/>
      <c r="J68" s="321"/>
      <c r="K68" s="374"/>
      <c r="L68" s="357"/>
      <c r="M68" s="493"/>
      <c r="N68" s="439"/>
      <c r="O68" s="495"/>
      <c r="P68" s="497"/>
    </row>
    <row r="69" spans="2:16" ht="27" customHeight="1" x14ac:dyDescent="0.3">
      <c r="B69" s="443"/>
      <c r="C69" s="449"/>
      <c r="D69" s="318"/>
      <c r="E69" s="485"/>
      <c r="F69" s="321"/>
      <c r="G69" s="115">
        <v>3</v>
      </c>
      <c r="H69" s="210" t="s">
        <v>511</v>
      </c>
      <c r="I69" s="330"/>
      <c r="J69" s="321"/>
      <c r="K69" s="374"/>
      <c r="L69" s="357"/>
      <c r="M69" s="493"/>
      <c r="N69" s="439"/>
      <c r="O69" s="495"/>
      <c r="P69" s="497"/>
    </row>
    <row r="70" spans="2:16" ht="35.25" customHeight="1" x14ac:dyDescent="0.3">
      <c r="B70" s="443"/>
      <c r="C70" s="449"/>
      <c r="D70" s="318"/>
      <c r="E70" s="485"/>
      <c r="F70" s="321"/>
      <c r="G70" s="115">
        <v>4</v>
      </c>
      <c r="H70" s="231" t="s">
        <v>543</v>
      </c>
      <c r="I70" s="330"/>
      <c r="J70" s="321"/>
      <c r="K70" s="374"/>
      <c r="L70" s="357"/>
      <c r="M70" s="493"/>
      <c r="N70" s="439"/>
      <c r="O70" s="495"/>
      <c r="P70" s="497"/>
    </row>
    <row r="71" spans="2:16" ht="36.75" customHeight="1" x14ac:dyDescent="0.3">
      <c r="B71" s="443"/>
      <c r="C71" s="449"/>
      <c r="D71" s="318"/>
      <c r="E71" s="485"/>
      <c r="F71" s="321"/>
      <c r="G71" s="115">
        <v>5</v>
      </c>
      <c r="H71" s="231" t="s">
        <v>616</v>
      </c>
      <c r="I71" s="330"/>
      <c r="J71" s="321"/>
      <c r="K71" s="374"/>
      <c r="L71" s="357"/>
      <c r="M71" s="493"/>
      <c r="N71" s="439"/>
      <c r="O71" s="495"/>
      <c r="P71" s="497"/>
    </row>
    <row r="72" spans="2:16" ht="27" customHeight="1" x14ac:dyDescent="0.3">
      <c r="B72" s="443"/>
      <c r="C72" s="449"/>
      <c r="D72" s="318"/>
      <c r="E72" s="485"/>
      <c r="F72" s="321"/>
      <c r="G72" s="115">
        <v>6</v>
      </c>
      <c r="H72" s="155"/>
      <c r="I72" s="330"/>
      <c r="J72" s="321"/>
      <c r="K72" s="374"/>
      <c r="L72" s="357"/>
      <c r="M72" s="493"/>
      <c r="N72" s="439"/>
      <c r="O72" s="495"/>
      <c r="P72" s="497"/>
    </row>
    <row r="73" spans="2:16" ht="27" customHeight="1" x14ac:dyDescent="0.3">
      <c r="B73" s="443"/>
      <c r="C73" s="449"/>
      <c r="D73" s="318"/>
      <c r="E73" s="485"/>
      <c r="F73" s="321"/>
      <c r="G73" s="115">
        <v>7</v>
      </c>
      <c r="H73" s="155"/>
      <c r="I73" s="330"/>
      <c r="J73" s="321"/>
      <c r="K73" s="374"/>
      <c r="L73" s="357"/>
      <c r="M73" s="493"/>
      <c r="N73" s="439"/>
      <c r="O73" s="495"/>
      <c r="P73" s="497"/>
    </row>
    <row r="74" spans="2:16" ht="27" customHeight="1" thickBot="1" x14ac:dyDescent="0.35">
      <c r="B74" s="444"/>
      <c r="C74" s="450"/>
      <c r="D74" s="319"/>
      <c r="E74" s="486"/>
      <c r="F74" s="322"/>
      <c r="G74" s="117">
        <v>8</v>
      </c>
      <c r="H74" s="156"/>
      <c r="I74" s="331"/>
      <c r="J74" s="322"/>
      <c r="K74" s="375"/>
      <c r="L74" s="357"/>
      <c r="M74" s="493"/>
      <c r="N74" s="439"/>
      <c r="O74" s="495"/>
      <c r="P74" s="497"/>
    </row>
    <row r="75" spans="2:16" ht="30" customHeight="1" x14ac:dyDescent="0.3">
      <c r="B75" s="442" t="str">
        <f>+LEFT(C75,3)</f>
        <v>7.5</v>
      </c>
      <c r="C75" s="448" t="s">
        <v>218</v>
      </c>
      <c r="D75" s="317" t="s">
        <v>219</v>
      </c>
      <c r="E75" s="484" t="s">
        <v>622</v>
      </c>
      <c r="F75" s="320">
        <v>3</v>
      </c>
      <c r="G75" s="118">
        <v>1</v>
      </c>
      <c r="H75" s="230" t="s">
        <v>496</v>
      </c>
      <c r="I75" s="329" t="s">
        <v>620</v>
      </c>
      <c r="J75" s="320">
        <v>3</v>
      </c>
      <c r="K75" s="373" t="str">
        <f>+IF(OR(ISBLANK(F75),ISBLANK(J75)),"",IF(OR(AND(F75=1,J75=1),AND(F75=1,J75=2),AND(F75=1,J75=3)),"Deficiencia de control mayor (diseño y ejecución)",IF(OR(AND(F75=2,J75=2),AND(F75=3,J75=1),AND(F75=3,J75=2),AND(F75=2,J75=1)),"Deficiencia de control (diseño o ejecución)",IF(AND(F75=2,J75=3),"Oportunidad de mejora","Mantenimiento del control"))))</f>
        <v>Mantenimiento del control</v>
      </c>
      <c r="L75" s="357">
        <f>+IF(K75="",75,IF(K75="Deficiencia de control mayor (diseño y ejecución)",80,IF(K75="Deficiencia de control (diseño o ejecución)",100,IF(K75="Oportunidad de mejora",120,140))))</f>
        <v>140</v>
      </c>
      <c r="M75" s="493">
        <v>2.4563000000000001</v>
      </c>
      <c r="N75" s="439">
        <f>+L75+M75</f>
        <v>142.4563</v>
      </c>
      <c r="O75" s="495"/>
      <c r="P75" s="497"/>
    </row>
    <row r="76" spans="2:16" ht="31.5" customHeight="1" x14ac:dyDescent="0.3">
      <c r="B76" s="443"/>
      <c r="C76" s="449"/>
      <c r="D76" s="318"/>
      <c r="E76" s="485"/>
      <c r="F76" s="321"/>
      <c r="G76" s="115">
        <v>2</v>
      </c>
      <c r="H76" s="231" t="s">
        <v>553</v>
      </c>
      <c r="I76" s="330"/>
      <c r="J76" s="321"/>
      <c r="K76" s="374"/>
      <c r="L76" s="357"/>
      <c r="M76" s="493"/>
      <c r="N76" s="439"/>
      <c r="O76" s="495"/>
      <c r="P76" s="497"/>
    </row>
    <row r="77" spans="2:16" ht="33.75" customHeight="1" x14ac:dyDescent="0.3">
      <c r="B77" s="443"/>
      <c r="C77" s="449"/>
      <c r="D77" s="318"/>
      <c r="E77" s="485"/>
      <c r="F77" s="321"/>
      <c r="G77" s="115">
        <v>3</v>
      </c>
      <c r="H77" s="231" t="s">
        <v>511</v>
      </c>
      <c r="I77" s="330"/>
      <c r="J77" s="321"/>
      <c r="K77" s="374"/>
      <c r="L77" s="357"/>
      <c r="M77" s="493"/>
      <c r="N77" s="439"/>
      <c r="O77" s="495"/>
      <c r="P77" s="497"/>
    </row>
    <row r="78" spans="2:16" ht="37.5" customHeight="1" x14ac:dyDescent="0.3">
      <c r="B78" s="443"/>
      <c r="C78" s="449"/>
      <c r="D78" s="318"/>
      <c r="E78" s="485"/>
      <c r="F78" s="321"/>
      <c r="G78" s="115">
        <v>4</v>
      </c>
      <c r="H78" s="231" t="s">
        <v>543</v>
      </c>
      <c r="I78" s="330"/>
      <c r="J78" s="321"/>
      <c r="K78" s="374"/>
      <c r="L78" s="357"/>
      <c r="M78" s="493"/>
      <c r="N78" s="439"/>
      <c r="O78" s="495"/>
      <c r="P78" s="497"/>
    </row>
    <row r="79" spans="2:16" ht="39" customHeight="1" x14ac:dyDescent="0.3">
      <c r="B79" s="443"/>
      <c r="C79" s="449"/>
      <c r="D79" s="318"/>
      <c r="E79" s="485"/>
      <c r="F79" s="321"/>
      <c r="G79" s="115">
        <v>5</v>
      </c>
      <c r="H79" s="231" t="s">
        <v>616</v>
      </c>
      <c r="I79" s="330"/>
      <c r="J79" s="321"/>
      <c r="K79" s="374"/>
      <c r="L79" s="357"/>
      <c r="M79" s="493"/>
      <c r="N79" s="439"/>
      <c r="O79" s="495"/>
      <c r="P79" s="497"/>
    </row>
    <row r="80" spans="2:16" ht="28.5" customHeight="1" x14ac:dyDescent="0.3">
      <c r="B80" s="443"/>
      <c r="C80" s="449"/>
      <c r="D80" s="318"/>
      <c r="E80" s="485"/>
      <c r="F80" s="321"/>
      <c r="G80" s="115">
        <v>6</v>
      </c>
      <c r="H80" s="155"/>
      <c r="I80" s="330"/>
      <c r="J80" s="321"/>
      <c r="K80" s="374"/>
      <c r="L80" s="357"/>
      <c r="M80" s="493"/>
      <c r="N80" s="439"/>
      <c r="O80" s="495"/>
      <c r="P80" s="497"/>
    </row>
    <row r="81" spans="2:16" ht="27.75" customHeight="1" x14ac:dyDescent="0.3">
      <c r="B81" s="443"/>
      <c r="C81" s="449"/>
      <c r="D81" s="318"/>
      <c r="E81" s="485"/>
      <c r="F81" s="321"/>
      <c r="G81" s="115">
        <v>7</v>
      </c>
      <c r="H81" s="155"/>
      <c r="I81" s="330"/>
      <c r="J81" s="321"/>
      <c r="K81" s="374"/>
      <c r="L81" s="357"/>
      <c r="M81" s="493"/>
      <c r="N81" s="439"/>
      <c r="O81" s="495"/>
      <c r="P81" s="497"/>
    </row>
    <row r="82" spans="2:16" ht="27.75" customHeight="1" thickBot="1" x14ac:dyDescent="0.35">
      <c r="B82" s="444"/>
      <c r="C82" s="450"/>
      <c r="D82" s="319"/>
      <c r="E82" s="486"/>
      <c r="F82" s="322"/>
      <c r="G82" s="117">
        <v>8</v>
      </c>
      <c r="H82" s="156"/>
      <c r="I82" s="331"/>
      <c r="J82" s="322"/>
      <c r="K82" s="375"/>
      <c r="L82" s="357"/>
      <c r="M82" s="493"/>
      <c r="N82" s="439"/>
      <c r="O82" s="495"/>
      <c r="P82" s="497"/>
    </row>
    <row r="83" spans="2:16" ht="22.5" customHeight="1" x14ac:dyDescent="0.3">
      <c r="B83" s="457"/>
      <c r="C83" s="457" t="s">
        <v>220</v>
      </c>
      <c r="D83" s="465" t="s">
        <v>8</v>
      </c>
      <c r="E83" s="475" t="s">
        <v>200</v>
      </c>
      <c r="F83" s="473" t="s">
        <v>201</v>
      </c>
      <c r="G83" s="479" t="s">
        <v>115</v>
      </c>
      <c r="H83" s="480"/>
      <c r="I83" s="480"/>
      <c r="J83" s="473" t="s">
        <v>202</v>
      </c>
      <c r="K83" s="461" t="s">
        <v>143</v>
      </c>
      <c r="L83" s="491"/>
      <c r="M83" s="491"/>
      <c r="N83" s="440"/>
      <c r="O83" s="494"/>
      <c r="P83" s="496"/>
    </row>
    <row r="84" spans="2:16" ht="22.5" customHeight="1" x14ac:dyDescent="0.3">
      <c r="B84" s="458"/>
      <c r="C84" s="458"/>
      <c r="D84" s="467"/>
      <c r="E84" s="487"/>
      <c r="F84" s="473"/>
      <c r="G84" s="477" t="s">
        <v>13</v>
      </c>
      <c r="H84" s="475" t="s">
        <v>15</v>
      </c>
      <c r="I84" s="475" t="s">
        <v>17</v>
      </c>
      <c r="J84" s="473"/>
      <c r="K84" s="461"/>
      <c r="L84" s="491"/>
      <c r="M84" s="491"/>
      <c r="N84" s="440"/>
      <c r="O84" s="494"/>
      <c r="P84" s="496"/>
    </row>
    <row r="85" spans="2:16" ht="72" customHeight="1" thickBot="1" x14ac:dyDescent="0.35">
      <c r="B85" s="459"/>
      <c r="C85" s="459"/>
      <c r="D85" s="468"/>
      <c r="E85" s="488"/>
      <c r="F85" s="474"/>
      <c r="G85" s="478"/>
      <c r="H85" s="476"/>
      <c r="I85" s="476"/>
      <c r="J85" s="474"/>
      <c r="K85" s="462"/>
      <c r="L85" s="491"/>
      <c r="M85" s="491"/>
      <c r="N85" s="440"/>
      <c r="O85" s="494"/>
      <c r="P85" s="496"/>
    </row>
    <row r="86" spans="2:16" ht="28.5" customHeight="1" x14ac:dyDescent="0.3">
      <c r="B86" s="442" t="str">
        <f>+LEFT(C86,3)</f>
        <v>8.1</v>
      </c>
      <c r="C86" s="448" t="s">
        <v>221</v>
      </c>
      <c r="D86" s="317" t="s">
        <v>204</v>
      </c>
      <c r="E86" s="481" t="s">
        <v>626</v>
      </c>
      <c r="F86" s="320">
        <v>3</v>
      </c>
      <c r="G86" s="118">
        <v>1</v>
      </c>
      <c r="H86" s="169" t="s">
        <v>222</v>
      </c>
      <c r="I86" s="329" t="s">
        <v>627</v>
      </c>
      <c r="J86" s="320">
        <v>3</v>
      </c>
      <c r="K86" s="373" t="str">
        <f>+IF(OR(ISBLANK(F86),ISBLANK(J86)),"",IF(OR(AND(F86=1,J86=1),AND(F86=1,J86=2),AND(F86=1,J86=3)),"Deficiencia de control mayor (diseño y ejecución)",IF(OR(AND(F86=2,J86=2),AND(F86=3,J86=1),AND(F86=3,J86=2),AND(F86=2,J86=1)),"Deficiencia de control (diseño o ejecución)",IF(AND(F86=2,J86=3),"Oportunidad de mejora","Mantenimiento del control"))))</f>
        <v>Mantenimiento del control</v>
      </c>
      <c r="L86" s="357">
        <f>+IF(K86="",75,IF(K86="Deficiencia de control mayor (diseño y ejecución)",80,IF(K86="Deficiencia de control (diseño o ejecución)",100,IF(K86="Oportunidad de mejora",120,140))))</f>
        <v>140</v>
      </c>
      <c r="M86" s="493">
        <v>2.5457999999999998</v>
      </c>
      <c r="N86" s="439">
        <f>+L86+M86</f>
        <v>142.54579999999999</v>
      </c>
      <c r="O86" s="495"/>
      <c r="P86" s="497"/>
    </row>
    <row r="87" spans="2:16" ht="28.5" customHeight="1" x14ac:dyDescent="0.3">
      <c r="B87" s="443"/>
      <c r="C87" s="449"/>
      <c r="D87" s="318"/>
      <c r="E87" s="482"/>
      <c r="F87" s="321"/>
      <c r="G87" s="115">
        <v>2</v>
      </c>
      <c r="H87" s="231" t="s">
        <v>553</v>
      </c>
      <c r="I87" s="330"/>
      <c r="J87" s="321"/>
      <c r="K87" s="374"/>
      <c r="L87" s="357"/>
      <c r="M87" s="493"/>
      <c r="N87" s="439"/>
      <c r="O87" s="495"/>
      <c r="P87" s="497"/>
    </row>
    <row r="88" spans="2:16" ht="32.25" customHeight="1" x14ac:dyDescent="0.3">
      <c r="B88" s="443"/>
      <c r="C88" s="449"/>
      <c r="D88" s="318"/>
      <c r="E88" s="482"/>
      <c r="F88" s="321"/>
      <c r="G88" s="115">
        <v>3</v>
      </c>
      <c r="H88" s="231" t="s">
        <v>511</v>
      </c>
      <c r="I88" s="330"/>
      <c r="J88" s="321"/>
      <c r="K88" s="374"/>
      <c r="L88" s="357"/>
      <c r="M88" s="493"/>
      <c r="N88" s="439"/>
      <c r="O88" s="495"/>
      <c r="P88" s="497"/>
    </row>
    <row r="89" spans="2:16" ht="36" customHeight="1" x14ac:dyDescent="0.3">
      <c r="B89" s="443"/>
      <c r="C89" s="449"/>
      <c r="D89" s="318"/>
      <c r="E89" s="482"/>
      <c r="F89" s="321"/>
      <c r="G89" s="115">
        <v>4</v>
      </c>
      <c r="H89" s="231" t="s">
        <v>543</v>
      </c>
      <c r="I89" s="330"/>
      <c r="J89" s="321"/>
      <c r="K89" s="374"/>
      <c r="L89" s="357"/>
      <c r="M89" s="493"/>
      <c r="N89" s="439"/>
      <c r="O89" s="495"/>
      <c r="P89" s="497"/>
    </row>
    <row r="90" spans="2:16" ht="35.25" customHeight="1" x14ac:dyDescent="0.3">
      <c r="B90" s="443"/>
      <c r="C90" s="449"/>
      <c r="D90" s="318"/>
      <c r="E90" s="482"/>
      <c r="F90" s="321"/>
      <c r="G90" s="115">
        <v>5</v>
      </c>
      <c r="H90" s="231" t="s">
        <v>616</v>
      </c>
      <c r="I90" s="330"/>
      <c r="J90" s="321"/>
      <c r="K90" s="374"/>
      <c r="L90" s="357"/>
      <c r="M90" s="493"/>
      <c r="N90" s="439"/>
      <c r="O90" s="495"/>
      <c r="P90" s="497"/>
    </row>
    <row r="91" spans="2:16" ht="28.5" customHeight="1" x14ac:dyDescent="0.3">
      <c r="B91" s="443"/>
      <c r="C91" s="449"/>
      <c r="D91" s="318"/>
      <c r="E91" s="482"/>
      <c r="F91" s="321"/>
      <c r="G91" s="115">
        <v>6</v>
      </c>
      <c r="H91" s="209" t="s">
        <v>141</v>
      </c>
      <c r="I91" s="330"/>
      <c r="J91" s="321"/>
      <c r="K91" s="374"/>
      <c r="L91" s="357"/>
      <c r="M91" s="493"/>
      <c r="N91" s="439"/>
      <c r="O91" s="495"/>
      <c r="P91" s="497"/>
    </row>
    <row r="92" spans="2:16" ht="28.5" customHeight="1" x14ac:dyDescent="0.3">
      <c r="B92" s="443"/>
      <c r="C92" s="449"/>
      <c r="D92" s="318"/>
      <c r="E92" s="482"/>
      <c r="F92" s="321"/>
      <c r="G92" s="115">
        <v>7</v>
      </c>
      <c r="H92" s="155"/>
      <c r="I92" s="330"/>
      <c r="J92" s="321"/>
      <c r="K92" s="374"/>
      <c r="L92" s="357"/>
      <c r="M92" s="493"/>
      <c r="N92" s="439"/>
      <c r="O92" s="495"/>
      <c r="P92" s="497"/>
    </row>
    <row r="93" spans="2:16" ht="28.5" customHeight="1" thickBot="1" x14ac:dyDescent="0.35">
      <c r="B93" s="444"/>
      <c r="C93" s="450"/>
      <c r="D93" s="319"/>
      <c r="E93" s="483"/>
      <c r="F93" s="322"/>
      <c r="G93" s="117">
        <v>8</v>
      </c>
      <c r="H93" s="156"/>
      <c r="I93" s="331"/>
      <c r="J93" s="322"/>
      <c r="K93" s="375"/>
      <c r="L93" s="357"/>
      <c r="M93" s="493"/>
      <c r="N93" s="439"/>
      <c r="O93" s="495"/>
      <c r="P93" s="497"/>
    </row>
    <row r="94" spans="2:16" ht="28.5" customHeight="1" x14ac:dyDescent="0.3">
      <c r="B94" s="442" t="str">
        <f>+LEFT(C94,3)</f>
        <v>8.2</v>
      </c>
      <c r="C94" s="448" t="s">
        <v>223</v>
      </c>
      <c r="D94" s="317" t="s">
        <v>224</v>
      </c>
      <c r="E94" s="481" t="s">
        <v>628</v>
      </c>
      <c r="F94" s="320">
        <v>3</v>
      </c>
      <c r="G94" s="118">
        <v>1</v>
      </c>
      <c r="H94" s="210" t="s">
        <v>621</v>
      </c>
      <c r="I94" s="329" t="s">
        <v>633</v>
      </c>
      <c r="J94" s="320">
        <v>3</v>
      </c>
      <c r="K94" s="373" t="str">
        <f>+IF(OR(ISBLANK(F94),ISBLANK(J94)),"",IF(OR(AND(F94=1,J94=1),AND(F94=1,J94=2),AND(F94=1,J94=3)),"Deficiencia de control mayor (diseño y ejecución)",IF(OR(AND(F94=2,J94=2),AND(F94=3,J94=1),AND(F94=3,J94=2),AND(F94=2,J94=1)),"Deficiencia de control (diseño o ejecución)",IF(AND(F94=2,J94=3),"Oportunidad de mejora","Mantenimiento del control"))))</f>
        <v>Mantenimiento del control</v>
      </c>
      <c r="L94" s="357">
        <f>+IF(K94="",75,IF(K94="Deficiencia de control mayor (diseño y ejecución)",80,IF(K94="Deficiencia de control (diseño o ejecución)",100,IF(K94="Oportunidad de mejora",120,140))))</f>
        <v>140</v>
      </c>
      <c r="M94" s="493">
        <v>2.6320999999999999</v>
      </c>
      <c r="N94" s="439">
        <f>+L94+M94</f>
        <v>142.63210000000001</v>
      </c>
      <c r="O94" s="495"/>
      <c r="P94" s="497"/>
    </row>
    <row r="95" spans="2:16" ht="36" customHeight="1" x14ac:dyDescent="0.3">
      <c r="B95" s="443"/>
      <c r="C95" s="449"/>
      <c r="D95" s="318"/>
      <c r="E95" s="482"/>
      <c r="F95" s="321"/>
      <c r="G95" s="115">
        <v>2</v>
      </c>
      <c r="H95" s="231" t="s">
        <v>553</v>
      </c>
      <c r="I95" s="330"/>
      <c r="J95" s="321"/>
      <c r="K95" s="374"/>
      <c r="L95" s="357"/>
      <c r="M95" s="493"/>
      <c r="N95" s="439"/>
      <c r="O95" s="495"/>
      <c r="P95" s="497"/>
    </row>
    <row r="96" spans="2:16" ht="33.75" customHeight="1" x14ac:dyDescent="0.3">
      <c r="B96" s="443"/>
      <c r="C96" s="449"/>
      <c r="D96" s="318"/>
      <c r="E96" s="482"/>
      <c r="F96" s="321"/>
      <c r="G96" s="115">
        <v>3</v>
      </c>
      <c r="H96" s="231" t="s">
        <v>543</v>
      </c>
      <c r="I96" s="330"/>
      <c r="J96" s="321"/>
      <c r="K96" s="374"/>
      <c r="L96" s="357"/>
      <c r="M96" s="493"/>
      <c r="N96" s="439"/>
      <c r="O96" s="495"/>
      <c r="P96" s="497"/>
    </row>
    <row r="97" spans="2:16" ht="28.5" customHeight="1" x14ac:dyDescent="0.3">
      <c r="B97" s="443"/>
      <c r="C97" s="449"/>
      <c r="D97" s="318"/>
      <c r="E97" s="482"/>
      <c r="F97" s="321"/>
      <c r="G97" s="115">
        <v>4</v>
      </c>
      <c r="H97" s="231" t="s">
        <v>616</v>
      </c>
      <c r="I97" s="330"/>
      <c r="J97" s="321"/>
      <c r="K97" s="374"/>
      <c r="L97" s="357"/>
      <c r="M97" s="493"/>
      <c r="N97" s="439"/>
      <c r="O97" s="495"/>
      <c r="P97" s="497"/>
    </row>
    <row r="98" spans="2:16" ht="30.75" customHeight="1" x14ac:dyDescent="0.3">
      <c r="B98" s="443"/>
      <c r="C98" s="449"/>
      <c r="D98" s="318"/>
      <c r="E98" s="482"/>
      <c r="F98" s="321"/>
      <c r="G98" s="115">
        <v>5</v>
      </c>
      <c r="H98" s="155"/>
      <c r="I98" s="330"/>
      <c r="J98" s="321"/>
      <c r="K98" s="374"/>
      <c r="L98" s="357"/>
      <c r="M98" s="493"/>
      <c r="N98" s="439"/>
      <c r="O98" s="495"/>
      <c r="P98" s="497"/>
    </row>
    <row r="99" spans="2:16" ht="28.5" customHeight="1" x14ac:dyDescent="0.3">
      <c r="B99" s="443"/>
      <c r="C99" s="449"/>
      <c r="D99" s="318"/>
      <c r="E99" s="482"/>
      <c r="F99" s="321"/>
      <c r="G99" s="115">
        <v>6</v>
      </c>
      <c r="H99" s="155"/>
      <c r="I99" s="330"/>
      <c r="J99" s="321"/>
      <c r="K99" s="374"/>
      <c r="L99" s="357"/>
      <c r="M99" s="493"/>
      <c r="N99" s="439"/>
      <c r="O99" s="495"/>
      <c r="P99" s="497"/>
    </row>
    <row r="100" spans="2:16" ht="28.5" customHeight="1" x14ac:dyDescent="0.3">
      <c r="B100" s="443"/>
      <c r="C100" s="449"/>
      <c r="D100" s="318"/>
      <c r="E100" s="482"/>
      <c r="F100" s="321"/>
      <c r="G100" s="115">
        <v>7</v>
      </c>
      <c r="H100" s="155"/>
      <c r="I100" s="330"/>
      <c r="J100" s="321"/>
      <c r="K100" s="374"/>
      <c r="L100" s="357"/>
      <c r="M100" s="493"/>
      <c r="N100" s="439"/>
      <c r="O100" s="495"/>
      <c r="P100" s="497"/>
    </row>
    <row r="101" spans="2:16" ht="76.5" customHeight="1" thickBot="1" x14ac:dyDescent="0.35">
      <c r="B101" s="444"/>
      <c r="C101" s="450"/>
      <c r="D101" s="319"/>
      <c r="E101" s="483"/>
      <c r="F101" s="322"/>
      <c r="G101" s="117">
        <v>8</v>
      </c>
      <c r="H101" s="156"/>
      <c r="I101" s="331"/>
      <c r="J101" s="322"/>
      <c r="K101" s="375"/>
      <c r="L101" s="357"/>
      <c r="M101" s="493"/>
      <c r="N101" s="439"/>
      <c r="O101" s="495"/>
      <c r="P101" s="497"/>
    </row>
    <row r="102" spans="2:16" ht="28.5" customHeight="1" x14ac:dyDescent="0.3">
      <c r="B102" s="442" t="str">
        <f>+LEFT(C102,3)</f>
        <v>8.3</v>
      </c>
      <c r="C102" s="448" t="s">
        <v>225</v>
      </c>
      <c r="D102" s="317" t="s">
        <v>226</v>
      </c>
      <c r="E102" s="484" t="s">
        <v>629</v>
      </c>
      <c r="F102" s="320">
        <v>3</v>
      </c>
      <c r="G102" s="118">
        <v>1</v>
      </c>
      <c r="H102" s="169" t="s">
        <v>227</v>
      </c>
      <c r="I102" s="329" t="s">
        <v>630</v>
      </c>
      <c r="J102" s="320">
        <v>3</v>
      </c>
      <c r="K102" s="373" t="str">
        <f>+IF(OR(ISBLANK(F102),ISBLANK(J102)),"",IF(OR(AND(F102=1,J102=1),AND(F102=1,J102=2),AND(F102=1,J102=3)),"Deficiencia de control mayor (diseño y ejecución)",IF(OR(AND(F102=2,J102=2),AND(F102=3,J102=1),AND(F102=3,J102=2),AND(F102=2,J102=1)),"Deficiencia de control (diseño o ejecución)",IF(AND(F102=2,J102=3),"Oportunidad de mejora","Mantenimiento del control"))))</f>
        <v>Mantenimiento del control</v>
      </c>
      <c r="L102" s="357">
        <f>+IF(K102="",75,IF(K102="Deficiencia de control mayor (diseño y ejecución)",80,IF(K102="Deficiencia de control (diseño o ejecución)",100,IF(K102="Oportunidad de mejora",120,140))))</f>
        <v>140</v>
      </c>
      <c r="M102" s="493">
        <v>2.7456</v>
      </c>
      <c r="N102" s="439">
        <f>+L102+M102</f>
        <v>142.7456</v>
      </c>
      <c r="O102" s="495"/>
      <c r="P102" s="497"/>
    </row>
    <row r="103" spans="2:16" ht="28.5" customHeight="1" thickBot="1" x14ac:dyDescent="0.35">
      <c r="B103" s="443"/>
      <c r="C103" s="449"/>
      <c r="D103" s="318"/>
      <c r="E103" s="485"/>
      <c r="F103" s="321"/>
      <c r="G103" s="115">
        <v>2</v>
      </c>
      <c r="H103" s="170" t="s">
        <v>228</v>
      </c>
      <c r="I103" s="330"/>
      <c r="J103" s="321"/>
      <c r="K103" s="374"/>
      <c r="L103" s="357"/>
      <c r="M103" s="493"/>
      <c r="N103" s="439"/>
      <c r="O103" s="495"/>
      <c r="P103" s="497"/>
    </row>
    <row r="104" spans="2:16" ht="50.25" customHeight="1" x14ac:dyDescent="0.3">
      <c r="B104" s="443"/>
      <c r="C104" s="449"/>
      <c r="D104" s="318"/>
      <c r="E104" s="485"/>
      <c r="F104" s="321"/>
      <c r="G104" s="115">
        <v>3</v>
      </c>
      <c r="H104" s="234" t="s">
        <v>499</v>
      </c>
      <c r="I104" s="330"/>
      <c r="J104" s="321"/>
      <c r="K104" s="374"/>
      <c r="L104" s="357"/>
      <c r="M104" s="493"/>
      <c r="N104" s="439"/>
      <c r="O104" s="495"/>
      <c r="P104" s="497"/>
    </row>
    <row r="105" spans="2:16" ht="28.5" customHeight="1" x14ac:dyDescent="0.3">
      <c r="B105" s="443"/>
      <c r="C105" s="449"/>
      <c r="D105" s="318"/>
      <c r="E105" s="485"/>
      <c r="F105" s="321"/>
      <c r="G105" s="115">
        <v>4</v>
      </c>
      <c r="H105" s="236" t="s">
        <v>222</v>
      </c>
      <c r="I105" s="330"/>
      <c r="J105" s="321"/>
      <c r="K105" s="374"/>
      <c r="L105" s="357"/>
      <c r="M105" s="493"/>
      <c r="N105" s="439"/>
      <c r="O105" s="495"/>
      <c r="P105" s="497"/>
    </row>
    <row r="106" spans="2:16" ht="28.5" customHeight="1" thickBot="1" x14ac:dyDescent="0.35">
      <c r="B106" s="443"/>
      <c r="C106" s="449"/>
      <c r="D106" s="318"/>
      <c r="E106" s="485"/>
      <c r="F106" s="321"/>
      <c r="G106" s="115">
        <v>5</v>
      </c>
      <c r="H106" s="236" t="s">
        <v>141</v>
      </c>
      <c r="I106" s="330"/>
      <c r="J106" s="321"/>
      <c r="K106" s="374"/>
      <c r="L106" s="357"/>
      <c r="M106" s="493"/>
      <c r="N106" s="439"/>
      <c r="O106" s="495"/>
      <c r="P106" s="497"/>
    </row>
    <row r="107" spans="2:16" ht="30.75" customHeight="1" x14ac:dyDescent="0.3">
      <c r="B107" s="443"/>
      <c r="C107" s="449"/>
      <c r="D107" s="318"/>
      <c r="E107" s="485"/>
      <c r="F107" s="321"/>
      <c r="G107" s="115">
        <v>6</v>
      </c>
      <c r="H107" s="234"/>
      <c r="I107" s="330"/>
      <c r="J107" s="321"/>
      <c r="K107" s="374"/>
      <c r="L107" s="357"/>
      <c r="M107" s="493"/>
      <c r="N107" s="439"/>
      <c r="O107" s="495"/>
      <c r="P107" s="497"/>
    </row>
    <row r="108" spans="2:16" ht="28.5" customHeight="1" x14ac:dyDescent="0.3">
      <c r="B108" s="443"/>
      <c r="C108" s="449"/>
      <c r="D108" s="318"/>
      <c r="E108" s="485"/>
      <c r="F108" s="321"/>
      <c r="G108" s="115">
        <v>7</v>
      </c>
      <c r="H108" s="170"/>
      <c r="I108" s="330"/>
      <c r="J108" s="321"/>
      <c r="K108" s="374"/>
      <c r="L108" s="357"/>
      <c r="M108" s="493"/>
      <c r="N108" s="439"/>
      <c r="O108" s="495"/>
      <c r="P108" s="497"/>
    </row>
    <row r="109" spans="2:16" ht="28.5" customHeight="1" thickBot="1" x14ac:dyDescent="0.35">
      <c r="B109" s="444"/>
      <c r="C109" s="450"/>
      <c r="D109" s="319"/>
      <c r="E109" s="486"/>
      <c r="F109" s="322"/>
      <c r="G109" s="117">
        <v>8</v>
      </c>
      <c r="H109" s="156"/>
      <c r="I109" s="331"/>
      <c r="J109" s="322"/>
      <c r="K109" s="375"/>
      <c r="L109" s="357"/>
      <c r="M109" s="493"/>
      <c r="N109" s="439"/>
      <c r="O109" s="495"/>
      <c r="P109" s="497"/>
    </row>
    <row r="110" spans="2:16" ht="30" customHeight="1" thickBot="1" x14ac:dyDescent="0.35">
      <c r="B110" s="442" t="str">
        <f>+LEFT(C110,3)</f>
        <v>8.4</v>
      </c>
      <c r="C110" s="448" t="s">
        <v>229</v>
      </c>
      <c r="D110" s="317" t="s">
        <v>224</v>
      </c>
      <c r="E110" s="484" t="s">
        <v>635</v>
      </c>
      <c r="F110" s="320">
        <v>3</v>
      </c>
      <c r="G110" s="118">
        <v>1</v>
      </c>
      <c r="H110" s="207" t="s">
        <v>509</v>
      </c>
      <c r="I110" s="329" t="s">
        <v>631</v>
      </c>
      <c r="J110" s="320">
        <v>3</v>
      </c>
      <c r="K110" s="373" t="str">
        <f>+IF(OR(ISBLANK(F110),ISBLANK(J110)),"",IF(OR(AND(F110=1,J110=1),AND(F110=1,J110=2),AND(F110=1,J110=3)),"Deficiencia de control mayor (diseño y ejecución)",IF(OR(AND(F110=2,J110=2),AND(F110=3,J110=1),AND(F110=3,J110=2),AND(F110=2,J110=1)),"Deficiencia de control (diseño o ejecución)",IF(AND(F110=2,J110=3),"Oportunidad de mejora","Mantenimiento del control"))))</f>
        <v>Mantenimiento del control</v>
      </c>
      <c r="L110" s="357">
        <f>+IF(K110="",75,IF(K110="Deficiencia de control mayor (diseño y ejecución)",80,IF(K110="Deficiencia de control (diseño o ejecución)",100,IF(K110="Oportunidad de mejora",120,140))))</f>
        <v>140</v>
      </c>
      <c r="M110" s="493">
        <v>2.8744999999999998</v>
      </c>
      <c r="N110" s="439">
        <f>+L110+M110</f>
        <v>142.87450000000001</v>
      </c>
      <c r="O110" s="495"/>
      <c r="P110" s="497"/>
    </row>
    <row r="111" spans="2:16" ht="36" customHeight="1" x14ac:dyDescent="0.3">
      <c r="B111" s="443"/>
      <c r="C111" s="449"/>
      <c r="D111" s="318"/>
      <c r="E111" s="485"/>
      <c r="F111" s="321"/>
      <c r="G111" s="115">
        <v>2</v>
      </c>
      <c r="H111" s="208" t="s">
        <v>496</v>
      </c>
      <c r="I111" s="330"/>
      <c r="J111" s="321"/>
      <c r="K111" s="374"/>
      <c r="L111" s="357"/>
      <c r="M111" s="493"/>
      <c r="N111" s="439"/>
      <c r="O111" s="495"/>
      <c r="P111" s="497"/>
    </row>
    <row r="112" spans="2:16" ht="30" customHeight="1" x14ac:dyDescent="0.3">
      <c r="B112" s="443"/>
      <c r="C112" s="449"/>
      <c r="D112" s="318"/>
      <c r="E112" s="485"/>
      <c r="F112" s="321"/>
      <c r="G112" s="115">
        <v>3</v>
      </c>
      <c r="H112" s="235" t="s">
        <v>553</v>
      </c>
      <c r="I112" s="330"/>
      <c r="J112" s="321"/>
      <c r="K112" s="374"/>
      <c r="L112" s="357"/>
      <c r="M112" s="493"/>
      <c r="N112" s="439"/>
      <c r="O112" s="495"/>
      <c r="P112" s="497"/>
    </row>
    <row r="113" spans="2:16" ht="38.25" customHeight="1" x14ac:dyDescent="0.3">
      <c r="B113" s="443"/>
      <c r="C113" s="449"/>
      <c r="D113" s="318"/>
      <c r="E113" s="485"/>
      <c r="F113" s="321"/>
      <c r="G113" s="115">
        <v>4</v>
      </c>
      <c r="H113" s="235" t="s">
        <v>543</v>
      </c>
      <c r="I113" s="330"/>
      <c r="J113" s="321"/>
      <c r="K113" s="374"/>
      <c r="L113" s="357"/>
      <c r="M113" s="493"/>
      <c r="N113" s="439"/>
      <c r="O113" s="495"/>
      <c r="P113" s="497"/>
    </row>
    <row r="114" spans="2:16" ht="30" customHeight="1" x14ac:dyDescent="0.3">
      <c r="B114" s="443"/>
      <c r="C114" s="449"/>
      <c r="D114" s="318"/>
      <c r="E114" s="485"/>
      <c r="F114" s="321"/>
      <c r="G114" s="115">
        <v>5</v>
      </c>
      <c r="H114" s="235" t="s">
        <v>616</v>
      </c>
      <c r="I114" s="330"/>
      <c r="J114" s="321"/>
      <c r="K114" s="374"/>
      <c r="L114" s="357"/>
      <c r="M114" s="493"/>
      <c r="N114" s="439"/>
      <c r="O114" s="495"/>
      <c r="P114" s="497"/>
    </row>
    <row r="115" spans="2:16" ht="30" customHeight="1" x14ac:dyDescent="0.3">
      <c r="B115" s="443"/>
      <c r="C115" s="449"/>
      <c r="D115" s="318"/>
      <c r="E115" s="485"/>
      <c r="F115" s="321"/>
      <c r="G115" s="115">
        <v>6</v>
      </c>
      <c r="H115" s="233" t="s">
        <v>512</v>
      </c>
      <c r="I115" s="330"/>
      <c r="J115" s="321"/>
      <c r="K115" s="374"/>
      <c r="L115" s="357"/>
      <c r="M115" s="493"/>
      <c r="N115" s="439"/>
      <c r="O115" s="495"/>
      <c r="P115" s="497"/>
    </row>
    <row r="116" spans="2:16" ht="30" customHeight="1" x14ac:dyDescent="0.3">
      <c r="B116" s="443"/>
      <c r="C116" s="449"/>
      <c r="D116" s="318"/>
      <c r="E116" s="485"/>
      <c r="F116" s="321"/>
      <c r="G116" s="115">
        <v>7</v>
      </c>
      <c r="H116" s="236" t="s">
        <v>513</v>
      </c>
      <c r="I116" s="330"/>
      <c r="J116" s="321"/>
      <c r="K116" s="374"/>
      <c r="L116" s="357"/>
      <c r="M116" s="493"/>
      <c r="N116" s="439"/>
      <c r="O116" s="495"/>
      <c r="P116" s="497"/>
    </row>
    <row r="117" spans="2:16" ht="30" customHeight="1" thickBot="1" x14ac:dyDescent="0.35">
      <c r="B117" s="444"/>
      <c r="C117" s="450"/>
      <c r="D117" s="319"/>
      <c r="E117" s="486"/>
      <c r="F117" s="322"/>
      <c r="G117" s="117">
        <v>8</v>
      </c>
      <c r="H117" s="236" t="s">
        <v>507</v>
      </c>
      <c r="I117" s="331"/>
      <c r="J117" s="322"/>
      <c r="K117" s="375"/>
      <c r="L117" s="357"/>
      <c r="M117" s="493"/>
      <c r="N117" s="439"/>
      <c r="O117" s="495"/>
      <c r="P117" s="497"/>
    </row>
    <row r="118" spans="2:16" ht="22.5" customHeight="1" x14ac:dyDescent="0.3">
      <c r="B118" s="446"/>
      <c r="C118" s="446" t="s">
        <v>230</v>
      </c>
      <c r="D118" s="465" t="s">
        <v>8</v>
      </c>
      <c r="E118" s="475" t="s">
        <v>200</v>
      </c>
      <c r="F118" s="473" t="s">
        <v>201</v>
      </c>
      <c r="G118" s="479" t="s">
        <v>115</v>
      </c>
      <c r="H118" s="480"/>
      <c r="I118" s="480"/>
      <c r="J118" s="473" t="s">
        <v>202</v>
      </c>
      <c r="K118" s="461" t="s">
        <v>143</v>
      </c>
      <c r="L118" s="491"/>
      <c r="M118" s="491"/>
      <c r="N118" s="440"/>
      <c r="O118" s="494"/>
      <c r="P118" s="496"/>
    </row>
    <row r="119" spans="2:16" ht="22.5" customHeight="1" x14ac:dyDescent="0.3">
      <c r="B119" s="446"/>
      <c r="C119" s="446"/>
      <c r="D119" s="467"/>
      <c r="E119" s="487"/>
      <c r="F119" s="473"/>
      <c r="G119" s="477" t="s">
        <v>13</v>
      </c>
      <c r="H119" s="475" t="s">
        <v>15</v>
      </c>
      <c r="I119" s="475" t="s">
        <v>17</v>
      </c>
      <c r="J119" s="473"/>
      <c r="K119" s="461"/>
      <c r="L119" s="491"/>
      <c r="M119" s="491"/>
      <c r="N119" s="440"/>
      <c r="O119" s="494"/>
      <c r="P119" s="496"/>
    </row>
    <row r="120" spans="2:16" ht="78.75" customHeight="1" thickBot="1" x14ac:dyDescent="0.35">
      <c r="B120" s="447"/>
      <c r="C120" s="447"/>
      <c r="D120" s="468"/>
      <c r="E120" s="488"/>
      <c r="F120" s="474"/>
      <c r="G120" s="478"/>
      <c r="H120" s="476"/>
      <c r="I120" s="476"/>
      <c r="J120" s="474"/>
      <c r="K120" s="462"/>
      <c r="L120" s="491"/>
      <c r="M120" s="491"/>
      <c r="N120" s="440"/>
      <c r="O120" s="494"/>
      <c r="P120" s="496"/>
    </row>
    <row r="121" spans="2:16" ht="30" customHeight="1" x14ac:dyDescent="0.3">
      <c r="B121" s="442" t="str">
        <f>+LEFT(C121,3)</f>
        <v>9.1</v>
      </c>
      <c r="C121" s="448" t="s">
        <v>231</v>
      </c>
      <c r="D121" s="317" t="s">
        <v>232</v>
      </c>
      <c r="E121" s="484" t="s">
        <v>632</v>
      </c>
      <c r="F121" s="320">
        <v>3</v>
      </c>
      <c r="G121" s="118">
        <v>1</v>
      </c>
      <c r="H121" s="208" t="s">
        <v>496</v>
      </c>
      <c r="I121" s="329" t="s">
        <v>634</v>
      </c>
      <c r="J121" s="320">
        <v>3</v>
      </c>
      <c r="K121" s="373" t="str">
        <f>+IF(OR(ISBLANK(F121),ISBLANK(J121)),"",IF(OR(AND(F121=1,J121=1),AND(F121=1,J121=2),AND(F121=1,J121=3)),"Deficiencia de control mayor (diseño y ejecución)",IF(OR(AND(F121=2,J121=2),AND(F121=3,J121=1),AND(F121=3,J121=2),AND(F121=2,J121=1)),"Deficiencia de control (diseño o ejecución)",IF(AND(F121=2,J121=3),"Oportunidad de mejora","Mantenimiento del control"))))</f>
        <v>Mantenimiento del control</v>
      </c>
      <c r="L121" s="357">
        <f>+IF(K121="",75,IF(K121="Deficiencia de control mayor (diseño y ejecución)",80,IF(K121="Deficiencia de control (diseño o ejecución)",100,IF(K121="Oportunidad de mejora",120,140))))</f>
        <v>140</v>
      </c>
      <c r="M121" s="493">
        <v>2.9634999999999998</v>
      </c>
      <c r="N121" s="439">
        <f>+L121+M121</f>
        <v>142.96350000000001</v>
      </c>
      <c r="O121" s="495"/>
      <c r="P121" s="497"/>
    </row>
    <row r="122" spans="2:16" ht="36.75" customHeight="1" x14ac:dyDescent="0.3">
      <c r="B122" s="443"/>
      <c r="C122" s="449"/>
      <c r="D122" s="318"/>
      <c r="E122" s="485"/>
      <c r="F122" s="321"/>
      <c r="G122" s="115">
        <v>2</v>
      </c>
      <c r="H122" s="235" t="s">
        <v>553</v>
      </c>
      <c r="I122" s="330"/>
      <c r="J122" s="321"/>
      <c r="K122" s="374"/>
      <c r="L122" s="357"/>
      <c r="M122" s="493"/>
      <c r="N122" s="439"/>
      <c r="O122" s="495"/>
      <c r="P122" s="497"/>
    </row>
    <row r="123" spans="2:16" ht="34.5" customHeight="1" x14ac:dyDescent="0.3">
      <c r="B123" s="443"/>
      <c r="C123" s="449"/>
      <c r="D123" s="318"/>
      <c r="E123" s="485"/>
      <c r="F123" s="321"/>
      <c r="G123" s="115">
        <v>3</v>
      </c>
      <c r="H123" s="235" t="s">
        <v>511</v>
      </c>
      <c r="I123" s="330"/>
      <c r="J123" s="321"/>
      <c r="K123" s="374"/>
      <c r="L123" s="357"/>
      <c r="M123" s="493"/>
      <c r="N123" s="439"/>
      <c r="O123" s="495"/>
      <c r="P123" s="497"/>
    </row>
    <row r="124" spans="2:16" ht="32.25" customHeight="1" x14ac:dyDescent="0.3">
      <c r="B124" s="443"/>
      <c r="C124" s="449"/>
      <c r="D124" s="318"/>
      <c r="E124" s="485"/>
      <c r="F124" s="321"/>
      <c r="G124" s="115">
        <v>4</v>
      </c>
      <c r="H124" s="235" t="s">
        <v>543</v>
      </c>
      <c r="I124" s="330"/>
      <c r="J124" s="321"/>
      <c r="K124" s="374"/>
      <c r="L124" s="357"/>
      <c r="M124" s="493"/>
      <c r="N124" s="439"/>
      <c r="O124" s="495"/>
      <c r="P124" s="497"/>
    </row>
    <row r="125" spans="2:16" ht="30" customHeight="1" x14ac:dyDescent="0.3">
      <c r="B125" s="443"/>
      <c r="C125" s="449"/>
      <c r="D125" s="318"/>
      <c r="E125" s="485"/>
      <c r="F125" s="321"/>
      <c r="G125" s="115">
        <v>5</v>
      </c>
      <c r="H125" s="235" t="s">
        <v>616</v>
      </c>
      <c r="I125" s="330"/>
      <c r="J125" s="321"/>
      <c r="K125" s="374"/>
      <c r="L125" s="357"/>
      <c r="M125" s="493"/>
      <c r="N125" s="439"/>
      <c r="O125" s="495"/>
      <c r="P125" s="497"/>
    </row>
    <row r="126" spans="2:16" ht="30" customHeight="1" x14ac:dyDescent="0.3">
      <c r="B126" s="443"/>
      <c r="C126" s="449"/>
      <c r="D126" s="318"/>
      <c r="E126" s="485"/>
      <c r="F126" s="321"/>
      <c r="G126" s="115">
        <v>6</v>
      </c>
      <c r="H126" s="236" t="s">
        <v>513</v>
      </c>
      <c r="I126" s="330"/>
      <c r="J126" s="321"/>
      <c r="K126" s="374"/>
      <c r="L126" s="357"/>
      <c r="M126" s="493"/>
      <c r="N126" s="439"/>
      <c r="O126" s="495"/>
      <c r="P126" s="497"/>
    </row>
    <row r="127" spans="2:16" ht="30" customHeight="1" x14ac:dyDescent="0.3">
      <c r="B127" s="443"/>
      <c r="C127" s="449"/>
      <c r="D127" s="318"/>
      <c r="E127" s="485"/>
      <c r="F127" s="321"/>
      <c r="G127" s="115">
        <v>7</v>
      </c>
      <c r="H127" s="236" t="s">
        <v>507</v>
      </c>
      <c r="I127" s="330"/>
      <c r="J127" s="321"/>
      <c r="K127" s="374"/>
      <c r="L127" s="357"/>
      <c r="M127" s="493"/>
      <c r="N127" s="439"/>
      <c r="O127" s="495"/>
      <c r="P127" s="497"/>
    </row>
    <row r="128" spans="2:16" ht="30" customHeight="1" thickBot="1" x14ac:dyDescent="0.35">
      <c r="B128" s="444"/>
      <c r="C128" s="450"/>
      <c r="D128" s="319"/>
      <c r="E128" s="486"/>
      <c r="F128" s="322"/>
      <c r="G128" s="117">
        <v>8</v>
      </c>
      <c r="H128" s="236"/>
      <c r="I128" s="331"/>
      <c r="J128" s="322"/>
      <c r="K128" s="375"/>
      <c r="L128" s="357"/>
      <c r="M128" s="493"/>
      <c r="N128" s="439"/>
      <c r="O128" s="495"/>
      <c r="P128" s="497"/>
    </row>
    <row r="129" spans="2:16" ht="33.75" customHeight="1" x14ac:dyDescent="0.3">
      <c r="B129" s="442" t="str">
        <f>+LEFT(C129,3)</f>
        <v>9.2</v>
      </c>
      <c r="C129" s="469" t="s">
        <v>233</v>
      </c>
      <c r="D129" s="317" t="s">
        <v>234</v>
      </c>
      <c r="E129" s="484" t="s">
        <v>636</v>
      </c>
      <c r="F129" s="320">
        <v>3</v>
      </c>
      <c r="G129" s="118">
        <v>1</v>
      </c>
      <c r="H129" s="208" t="s">
        <v>496</v>
      </c>
      <c r="I129" s="329" t="s">
        <v>521</v>
      </c>
      <c r="J129" s="320">
        <v>3</v>
      </c>
      <c r="K129" s="373" t="str">
        <f>+IF(OR(ISBLANK(F129),ISBLANK(J129)),"",IF(OR(AND(F129=1,J129=1),AND(F129=1,J129=2),AND(F129=1,J129=3)),"Deficiencia de control mayor (diseño y ejecución)",IF(OR(AND(F129=2,J129=2),AND(F129=3,J129=1),AND(F129=3,J129=2),AND(F129=2,J129=1)),"Deficiencia de control (diseño o ejecución)",IF(AND(F129=2,J129=3),"Oportunidad de mejora","Mantenimiento del control"))))</f>
        <v>Mantenimiento del control</v>
      </c>
      <c r="L129" s="357">
        <f>+IF(K129="",75,IF(K129="Deficiencia de control mayor (diseño y ejecución)",80,IF(K129="Deficiencia de control (diseño o ejecución)",100,IF(K129="Oportunidad de mejora",120,140))))</f>
        <v>140</v>
      </c>
      <c r="M129" s="493">
        <v>3.0125000000000002</v>
      </c>
      <c r="N129" s="439">
        <f>+L129+M129</f>
        <v>143.01249999999999</v>
      </c>
      <c r="O129" s="495"/>
      <c r="P129" s="497"/>
    </row>
    <row r="130" spans="2:16" ht="36" customHeight="1" x14ac:dyDescent="0.3">
      <c r="B130" s="443"/>
      <c r="C130" s="470"/>
      <c r="D130" s="318"/>
      <c r="E130" s="485"/>
      <c r="F130" s="321"/>
      <c r="G130" s="115">
        <v>2</v>
      </c>
      <c r="H130" s="235" t="s">
        <v>553</v>
      </c>
      <c r="I130" s="330"/>
      <c r="J130" s="321"/>
      <c r="K130" s="374"/>
      <c r="L130" s="357"/>
      <c r="M130" s="493"/>
      <c r="N130" s="439"/>
      <c r="O130" s="495"/>
      <c r="P130" s="497"/>
    </row>
    <row r="131" spans="2:16" ht="32.25" customHeight="1" x14ac:dyDescent="0.3">
      <c r="B131" s="443"/>
      <c r="C131" s="470"/>
      <c r="D131" s="318"/>
      <c r="E131" s="485"/>
      <c r="F131" s="321"/>
      <c r="G131" s="115">
        <v>3</v>
      </c>
      <c r="H131" s="235" t="s">
        <v>511</v>
      </c>
      <c r="I131" s="330"/>
      <c r="J131" s="321"/>
      <c r="K131" s="374"/>
      <c r="L131" s="357"/>
      <c r="M131" s="493"/>
      <c r="N131" s="439"/>
      <c r="O131" s="495"/>
      <c r="P131" s="497"/>
    </row>
    <row r="132" spans="2:16" ht="33.75" customHeight="1" x14ac:dyDescent="0.3">
      <c r="B132" s="443"/>
      <c r="C132" s="470"/>
      <c r="D132" s="318"/>
      <c r="E132" s="485"/>
      <c r="F132" s="321"/>
      <c r="G132" s="115">
        <v>4</v>
      </c>
      <c r="H132" s="235" t="s">
        <v>543</v>
      </c>
      <c r="I132" s="330"/>
      <c r="J132" s="321"/>
      <c r="K132" s="374"/>
      <c r="L132" s="357"/>
      <c r="M132" s="493"/>
      <c r="N132" s="439"/>
      <c r="O132" s="495"/>
      <c r="P132" s="497"/>
    </row>
    <row r="133" spans="2:16" ht="30.75" customHeight="1" x14ac:dyDescent="0.3">
      <c r="B133" s="443"/>
      <c r="C133" s="470"/>
      <c r="D133" s="318"/>
      <c r="E133" s="485"/>
      <c r="F133" s="321"/>
      <c r="G133" s="115">
        <v>5</v>
      </c>
      <c r="H133" s="235" t="s">
        <v>616</v>
      </c>
      <c r="I133" s="330"/>
      <c r="J133" s="321"/>
      <c r="K133" s="374"/>
      <c r="L133" s="357"/>
      <c r="M133" s="493"/>
      <c r="N133" s="439"/>
      <c r="O133" s="495"/>
      <c r="P133" s="497"/>
    </row>
    <row r="134" spans="2:16" ht="30" customHeight="1" x14ac:dyDescent="0.3">
      <c r="B134" s="443"/>
      <c r="C134" s="470"/>
      <c r="D134" s="318"/>
      <c r="E134" s="485"/>
      <c r="F134" s="321"/>
      <c r="G134" s="115">
        <v>6</v>
      </c>
      <c r="H134" s="236" t="s">
        <v>513</v>
      </c>
      <c r="I134" s="330"/>
      <c r="J134" s="321"/>
      <c r="K134" s="374"/>
      <c r="L134" s="357"/>
      <c r="M134" s="493"/>
      <c r="N134" s="439"/>
      <c r="O134" s="495"/>
      <c r="P134" s="497"/>
    </row>
    <row r="135" spans="2:16" ht="30" customHeight="1" x14ac:dyDescent="0.3">
      <c r="B135" s="443"/>
      <c r="C135" s="470"/>
      <c r="D135" s="318"/>
      <c r="E135" s="485"/>
      <c r="F135" s="321"/>
      <c r="G135" s="115">
        <v>7</v>
      </c>
      <c r="H135" s="236" t="s">
        <v>507</v>
      </c>
      <c r="I135" s="330"/>
      <c r="J135" s="321"/>
      <c r="K135" s="374"/>
      <c r="L135" s="357"/>
      <c r="M135" s="493"/>
      <c r="N135" s="439"/>
      <c r="O135" s="495"/>
      <c r="P135" s="497"/>
    </row>
    <row r="136" spans="2:16" ht="30" customHeight="1" thickBot="1" x14ac:dyDescent="0.35">
      <c r="B136" s="444"/>
      <c r="C136" s="471"/>
      <c r="D136" s="319"/>
      <c r="E136" s="486"/>
      <c r="F136" s="322"/>
      <c r="G136" s="117">
        <v>8</v>
      </c>
      <c r="H136" s="156"/>
      <c r="I136" s="331"/>
      <c r="J136" s="322"/>
      <c r="K136" s="375"/>
      <c r="L136" s="357"/>
      <c r="M136" s="493"/>
      <c r="N136" s="439"/>
      <c r="O136" s="495"/>
      <c r="P136" s="497"/>
    </row>
    <row r="137" spans="2:16" ht="30" customHeight="1" x14ac:dyDescent="0.3">
      <c r="B137" s="442" t="str">
        <f>+LEFT(C137,3)</f>
        <v>9.3</v>
      </c>
      <c r="C137" s="469" t="s">
        <v>235</v>
      </c>
      <c r="D137" s="472" t="s">
        <v>224</v>
      </c>
      <c r="E137" s="406" t="s">
        <v>638</v>
      </c>
      <c r="F137" s="320">
        <v>3</v>
      </c>
      <c r="G137" s="118">
        <v>1</v>
      </c>
      <c r="H137" s="234" t="s">
        <v>496</v>
      </c>
      <c r="I137" s="329" t="s">
        <v>637</v>
      </c>
      <c r="J137" s="320">
        <v>3</v>
      </c>
      <c r="K137" s="373" t="str">
        <f>+IF(OR(ISBLANK(F137),ISBLANK(J137)),"",IF(OR(AND(F137=1,J137=1),AND(F137=1,J137=2),AND(F137=1,J137=3)),"Deficiencia de control mayor (diseño y ejecución)",IF(OR(AND(F137=2,J137=2),AND(F137=3,J137=1),AND(F137=3,J137=2),AND(F137=2,J137=1)),"Deficiencia de control (diseño o ejecución)",IF(AND(F137=2,J137=3),"Oportunidad de mejora","Mantenimiento del control"))))</f>
        <v>Mantenimiento del control</v>
      </c>
      <c r="L137" s="357">
        <f>+IF(K137="",75,IF(K137="Deficiencia de control mayor (diseño y ejecución)",80,IF(K137="Deficiencia de control (diseño o ejecución)",100,IF(K137="Oportunidad de mejora",120,140))))</f>
        <v>140</v>
      </c>
      <c r="M137" s="493">
        <v>3.1236000000000002</v>
      </c>
      <c r="N137" s="439">
        <f>+L137+M137</f>
        <v>143.12360000000001</v>
      </c>
      <c r="O137" s="495"/>
      <c r="P137" s="497"/>
    </row>
    <row r="138" spans="2:16" ht="34.5" customHeight="1" x14ac:dyDescent="0.3">
      <c r="B138" s="443"/>
      <c r="C138" s="470"/>
      <c r="D138" s="318"/>
      <c r="E138" s="407"/>
      <c r="F138" s="321"/>
      <c r="G138" s="115">
        <v>2</v>
      </c>
      <c r="H138" s="235" t="s">
        <v>553</v>
      </c>
      <c r="I138" s="330"/>
      <c r="J138" s="321"/>
      <c r="K138" s="374"/>
      <c r="L138" s="357"/>
      <c r="M138" s="493"/>
      <c r="N138" s="439"/>
      <c r="O138" s="495"/>
      <c r="P138" s="497"/>
    </row>
    <row r="139" spans="2:16" ht="30" customHeight="1" x14ac:dyDescent="0.3">
      <c r="B139" s="443"/>
      <c r="C139" s="470"/>
      <c r="D139" s="318"/>
      <c r="E139" s="407"/>
      <c r="F139" s="321"/>
      <c r="G139" s="115">
        <v>3</v>
      </c>
      <c r="H139" s="235" t="s">
        <v>511</v>
      </c>
      <c r="I139" s="330"/>
      <c r="J139" s="321"/>
      <c r="K139" s="374"/>
      <c r="L139" s="357"/>
      <c r="M139" s="493"/>
      <c r="N139" s="439"/>
      <c r="O139" s="495"/>
      <c r="P139" s="497"/>
    </row>
    <row r="140" spans="2:16" ht="36" customHeight="1" x14ac:dyDescent="0.3">
      <c r="B140" s="443"/>
      <c r="C140" s="470"/>
      <c r="D140" s="318"/>
      <c r="E140" s="407"/>
      <c r="F140" s="321"/>
      <c r="G140" s="115">
        <v>4</v>
      </c>
      <c r="H140" s="235" t="s">
        <v>543</v>
      </c>
      <c r="I140" s="330"/>
      <c r="J140" s="321"/>
      <c r="K140" s="374"/>
      <c r="L140" s="357"/>
      <c r="M140" s="493"/>
      <c r="N140" s="439"/>
      <c r="O140" s="495"/>
      <c r="P140" s="497"/>
    </row>
    <row r="141" spans="2:16" ht="33" customHeight="1" x14ac:dyDescent="0.3">
      <c r="B141" s="443"/>
      <c r="C141" s="470"/>
      <c r="D141" s="318"/>
      <c r="E141" s="407"/>
      <c r="F141" s="321"/>
      <c r="G141" s="115">
        <v>5</v>
      </c>
      <c r="H141" s="235" t="s">
        <v>616</v>
      </c>
      <c r="I141" s="330"/>
      <c r="J141" s="321"/>
      <c r="K141" s="374"/>
      <c r="L141" s="357"/>
      <c r="M141" s="493"/>
      <c r="N141" s="439"/>
      <c r="O141" s="495"/>
      <c r="P141" s="497"/>
    </row>
    <row r="142" spans="2:16" ht="30" customHeight="1" x14ac:dyDescent="0.3">
      <c r="B142" s="443"/>
      <c r="C142" s="470"/>
      <c r="D142" s="318"/>
      <c r="E142" s="407"/>
      <c r="F142" s="321"/>
      <c r="G142" s="115">
        <v>6</v>
      </c>
      <c r="H142" s="236" t="s">
        <v>513</v>
      </c>
      <c r="I142" s="330"/>
      <c r="J142" s="321"/>
      <c r="K142" s="374"/>
      <c r="L142" s="357"/>
      <c r="M142" s="493"/>
      <c r="N142" s="439"/>
      <c r="O142" s="495"/>
      <c r="P142" s="497"/>
    </row>
    <row r="143" spans="2:16" ht="30" customHeight="1" x14ac:dyDescent="0.3">
      <c r="B143" s="443"/>
      <c r="C143" s="470"/>
      <c r="D143" s="318"/>
      <c r="E143" s="407"/>
      <c r="F143" s="321"/>
      <c r="G143" s="115">
        <v>7</v>
      </c>
      <c r="H143" s="236" t="s">
        <v>507</v>
      </c>
      <c r="I143" s="330"/>
      <c r="J143" s="321"/>
      <c r="K143" s="374"/>
      <c r="L143" s="357"/>
      <c r="M143" s="493"/>
      <c r="N143" s="439"/>
      <c r="O143" s="495"/>
      <c r="P143" s="497"/>
    </row>
    <row r="144" spans="2:16" ht="30" customHeight="1" thickBot="1" x14ac:dyDescent="0.35">
      <c r="B144" s="444"/>
      <c r="C144" s="471"/>
      <c r="D144" s="319"/>
      <c r="E144" s="408"/>
      <c r="F144" s="322"/>
      <c r="G144" s="117">
        <v>8</v>
      </c>
      <c r="H144" s="156"/>
      <c r="I144" s="331"/>
      <c r="J144" s="322"/>
      <c r="K144" s="375"/>
      <c r="L144" s="357"/>
      <c r="M144" s="493"/>
      <c r="N144" s="439"/>
      <c r="O144" s="495"/>
      <c r="P144" s="497"/>
    </row>
    <row r="145" spans="2:16" ht="30" customHeight="1" x14ac:dyDescent="0.3">
      <c r="B145" s="442" t="str">
        <f>+LEFT(C145,3)</f>
        <v>9.4</v>
      </c>
      <c r="C145" s="469" t="s">
        <v>236</v>
      </c>
      <c r="D145" s="472" t="s">
        <v>234</v>
      </c>
      <c r="E145" s="406" t="s">
        <v>641</v>
      </c>
      <c r="F145" s="320">
        <v>3</v>
      </c>
      <c r="G145" s="118">
        <v>1</v>
      </c>
      <c r="H145" s="169" t="s">
        <v>237</v>
      </c>
      <c r="I145" s="329" t="s">
        <v>640</v>
      </c>
      <c r="J145" s="320">
        <v>3</v>
      </c>
      <c r="K145" s="373" t="str">
        <f>+IF(OR(ISBLANK(F145),ISBLANK(J145)),"",IF(OR(AND(F145=1,J145=1),AND(F145=1,J145=2),AND(F145=1,J145=3)),"Deficiencia de control mayor (diseño y ejecución)",IF(OR(AND(F145=2,J145=2),AND(F145=3,J145=1),AND(F145=3,J145=2),AND(F145=2,J145=1)),"Deficiencia de control (diseño o ejecución)",IF(AND(F145=2,J145=3),"Oportunidad de mejora","Mantenimiento del control"))))</f>
        <v>Mantenimiento del control</v>
      </c>
      <c r="L145" s="357">
        <f>+IF(K145="",75,IF(K145="Deficiencia de control mayor (diseño y ejecución)",80,IF(K145="Deficiencia de control (diseño o ejecución)",100,IF(K145="Oportunidad de mejora",120,140))))</f>
        <v>140</v>
      </c>
      <c r="M145" s="493">
        <v>3.2456</v>
      </c>
      <c r="N145" s="439">
        <f>+L145+M145</f>
        <v>143.2456</v>
      </c>
      <c r="O145" s="495"/>
      <c r="P145" s="497"/>
    </row>
    <row r="146" spans="2:16" ht="30" customHeight="1" x14ac:dyDescent="0.3">
      <c r="B146" s="443"/>
      <c r="C146" s="470"/>
      <c r="D146" s="318"/>
      <c r="E146" s="407"/>
      <c r="F146" s="321"/>
      <c r="G146" s="115">
        <v>2</v>
      </c>
      <c r="H146" s="170" t="s">
        <v>181</v>
      </c>
      <c r="I146" s="330"/>
      <c r="J146" s="321"/>
      <c r="K146" s="374"/>
      <c r="L146" s="357"/>
      <c r="M146" s="493"/>
      <c r="N146" s="439"/>
      <c r="O146" s="495"/>
      <c r="P146" s="497"/>
    </row>
    <row r="147" spans="2:16" ht="30" customHeight="1" x14ac:dyDescent="0.3">
      <c r="B147" s="443"/>
      <c r="C147" s="470"/>
      <c r="D147" s="318"/>
      <c r="E147" s="407"/>
      <c r="F147" s="321"/>
      <c r="G147" s="115">
        <v>3</v>
      </c>
      <c r="H147" s="170" t="s">
        <v>639</v>
      </c>
      <c r="I147" s="330"/>
      <c r="J147" s="321"/>
      <c r="K147" s="374"/>
      <c r="L147" s="357"/>
      <c r="M147" s="493"/>
      <c r="N147" s="439"/>
      <c r="O147" s="495"/>
      <c r="P147" s="497"/>
    </row>
    <row r="148" spans="2:16" ht="30" customHeight="1" x14ac:dyDescent="0.3">
      <c r="B148" s="443"/>
      <c r="C148" s="470"/>
      <c r="D148" s="318"/>
      <c r="E148" s="407"/>
      <c r="F148" s="321"/>
      <c r="G148" s="115">
        <v>4</v>
      </c>
      <c r="H148" s="241" t="s">
        <v>601</v>
      </c>
      <c r="I148" s="330"/>
      <c r="J148" s="321"/>
      <c r="K148" s="374"/>
      <c r="L148" s="357"/>
      <c r="M148" s="493"/>
      <c r="N148" s="439"/>
      <c r="O148" s="495"/>
      <c r="P148" s="497"/>
    </row>
    <row r="149" spans="2:16" ht="30" customHeight="1" x14ac:dyDescent="0.3">
      <c r="B149" s="443"/>
      <c r="C149" s="470"/>
      <c r="D149" s="318"/>
      <c r="E149" s="407"/>
      <c r="F149" s="321"/>
      <c r="G149" s="115">
        <v>5</v>
      </c>
      <c r="H149" s="241" t="s">
        <v>513</v>
      </c>
      <c r="I149" s="330"/>
      <c r="J149" s="321"/>
      <c r="K149" s="374"/>
      <c r="L149" s="357"/>
      <c r="M149" s="493"/>
      <c r="N149" s="439"/>
      <c r="O149" s="495"/>
      <c r="P149" s="497"/>
    </row>
    <row r="150" spans="2:16" ht="30" customHeight="1" x14ac:dyDescent="0.3">
      <c r="B150" s="443"/>
      <c r="C150" s="470"/>
      <c r="D150" s="318"/>
      <c r="E150" s="407"/>
      <c r="F150" s="321"/>
      <c r="G150" s="115">
        <v>6</v>
      </c>
      <c r="H150" s="241" t="s">
        <v>507</v>
      </c>
      <c r="I150" s="330"/>
      <c r="J150" s="321"/>
      <c r="K150" s="374"/>
      <c r="L150" s="357"/>
      <c r="M150" s="493"/>
      <c r="N150" s="439"/>
      <c r="O150" s="495"/>
      <c r="P150" s="497"/>
    </row>
    <row r="151" spans="2:16" ht="30" customHeight="1" x14ac:dyDescent="0.3">
      <c r="B151" s="443"/>
      <c r="C151" s="470"/>
      <c r="D151" s="318"/>
      <c r="E151" s="407"/>
      <c r="F151" s="321"/>
      <c r="G151" s="115">
        <v>7</v>
      </c>
      <c r="H151" s="155"/>
      <c r="I151" s="330"/>
      <c r="J151" s="321"/>
      <c r="K151" s="374"/>
      <c r="L151" s="357"/>
      <c r="M151" s="493"/>
      <c r="N151" s="439"/>
      <c r="O151" s="495"/>
      <c r="P151" s="497"/>
    </row>
    <row r="152" spans="2:16" ht="30" customHeight="1" thickBot="1" x14ac:dyDescent="0.35">
      <c r="B152" s="444"/>
      <c r="C152" s="471"/>
      <c r="D152" s="319"/>
      <c r="E152" s="408"/>
      <c r="F152" s="322"/>
      <c r="G152" s="117">
        <v>8</v>
      </c>
      <c r="H152" s="156"/>
      <c r="I152" s="331"/>
      <c r="J152" s="322"/>
      <c r="K152" s="375"/>
      <c r="L152" s="357"/>
      <c r="M152" s="493"/>
      <c r="N152" s="439"/>
      <c r="O152" s="495"/>
      <c r="P152" s="497"/>
    </row>
    <row r="153" spans="2:16" ht="30" customHeight="1" x14ac:dyDescent="0.3">
      <c r="B153" s="442" t="str">
        <f>+LEFT(C153,3)</f>
        <v>9.5</v>
      </c>
      <c r="C153" s="469" t="s">
        <v>238</v>
      </c>
      <c r="D153" s="472" t="s">
        <v>239</v>
      </c>
      <c r="E153" s="406" t="s">
        <v>643</v>
      </c>
      <c r="F153" s="320">
        <v>3</v>
      </c>
      <c r="G153" s="118">
        <v>1</v>
      </c>
      <c r="H153" s="216" t="s">
        <v>601</v>
      </c>
      <c r="I153" s="329" t="s">
        <v>642</v>
      </c>
      <c r="J153" s="320">
        <v>3</v>
      </c>
      <c r="K153" s="373" t="str">
        <f>+IF(OR(ISBLANK(F153),ISBLANK(J153)),"",IF(OR(AND(F153=1,J153=1),AND(F153=1,J153=2),AND(F153=1,J153=3)),"Deficiencia de control mayor (diseño y ejecución)",IF(OR(AND(F153=2,J153=2),AND(F153=3,J153=1),AND(F153=3,J153=2),AND(F153=2,J153=1)),"Deficiencia de control (diseño o ejecución)",IF(AND(F153=2,J153=3),"Oportunidad de mejora","Mantenimiento del control"))))</f>
        <v>Mantenimiento del control</v>
      </c>
      <c r="L153" s="357">
        <f>+IF(K153="",75,IF(K153="Deficiencia de control mayor (diseño y ejecución)",80,IF(K153="Deficiencia de control (diseño o ejecución)",100,IF(K153="Oportunidad de mejora",120,140))))</f>
        <v>140</v>
      </c>
      <c r="M153" s="493">
        <v>3.3654000000000002</v>
      </c>
      <c r="N153" s="439">
        <f>+L153+M153</f>
        <v>143.36539999999999</v>
      </c>
      <c r="O153" s="495"/>
      <c r="P153" s="497"/>
    </row>
    <row r="154" spans="2:16" ht="30" customHeight="1" x14ac:dyDescent="0.3">
      <c r="B154" s="443"/>
      <c r="C154" s="470"/>
      <c r="D154" s="318"/>
      <c r="E154" s="407"/>
      <c r="F154" s="321"/>
      <c r="G154" s="181">
        <v>2</v>
      </c>
      <c r="H154" s="215" t="s">
        <v>496</v>
      </c>
      <c r="I154" s="498"/>
      <c r="J154" s="321"/>
      <c r="K154" s="374"/>
      <c r="L154" s="357"/>
      <c r="M154" s="493"/>
      <c r="N154" s="439"/>
      <c r="O154" s="495"/>
      <c r="P154" s="497"/>
    </row>
    <row r="155" spans="2:16" ht="30" customHeight="1" thickBot="1" x14ac:dyDescent="0.35">
      <c r="B155" s="443"/>
      <c r="C155" s="470"/>
      <c r="D155" s="318"/>
      <c r="E155" s="407"/>
      <c r="F155" s="321"/>
      <c r="G155" s="115">
        <v>3</v>
      </c>
      <c r="H155" s="216" t="s">
        <v>511</v>
      </c>
      <c r="I155" s="330"/>
      <c r="J155" s="321"/>
      <c r="K155" s="374"/>
      <c r="L155" s="357"/>
      <c r="M155" s="493"/>
      <c r="N155" s="439"/>
      <c r="O155" s="495"/>
      <c r="P155" s="497"/>
    </row>
    <row r="156" spans="2:16" ht="30" customHeight="1" x14ac:dyDescent="0.3">
      <c r="B156" s="443"/>
      <c r="C156" s="470"/>
      <c r="D156" s="318"/>
      <c r="E156" s="407"/>
      <c r="F156" s="321"/>
      <c r="G156" s="115">
        <v>4</v>
      </c>
      <c r="H156" s="240" t="s">
        <v>237</v>
      </c>
      <c r="I156" s="330"/>
      <c r="J156" s="321"/>
      <c r="K156" s="374"/>
      <c r="L156" s="357"/>
      <c r="M156" s="493"/>
      <c r="N156" s="439"/>
      <c r="O156" s="495"/>
      <c r="P156" s="497"/>
    </row>
    <row r="157" spans="2:16" ht="30" customHeight="1" x14ac:dyDescent="0.3">
      <c r="B157" s="443"/>
      <c r="C157" s="470"/>
      <c r="D157" s="318"/>
      <c r="E157" s="407"/>
      <c r="F157" s="321"/>
      <c r="G157" s="115">
        <v>5</v>
      </c>
      <c r="H157" s="241" t="s">
        <v>644</v>
      </c>
      <c r="I157" s="330"/>
      <c r="J157" s="321"/>
      <c r="K157" s="374"/>
      <c r="L157" s="357"/>
      <c r="M157" s="493"/>
      <c r="N157" s="439"/>
      <c r="O157" s="495"/>
      <c r="P157" s="497"/>
    </row>
    <row r="158" spans="2:16" ht="30" customHeight="1" x14ac:dyDescent="0.3">
      <c r="B158" s="443"/>
      <c r="C158" s="470"/>
      <c r="D158" s="318"/>
      <c r="E158" s="407"/>
      <c r="F158" s="321"/>
      <c r="G158" s="115">
        <v>6</v>
      </c>
      <c r="H158" s="241" t="s">
        <v>639</v>
      </c>
      <c r="I158" s="330"/>
      <c r="J158" s="321"/>
      <c r="K158" s="374"/>
      <c r="L158" s="357"/>
      <c r="M158" s="493"/>
      <c r="N158" s="439"/>
      <c r="O158" s="495"/>
      <c r="P158" s="497"/>
    </row>
    <row r="159" spans="2:16" ht="30" customHeight="1" x14ac:dyDescent="0.3">
      <c r="B159" s="443"/>
      <c r="C159" s="470"/>
      <c r="D159" s="318"/>
      <c r="E159" s="407"/>
      <c r="F159" s="321"/>
      <c r="G159" s="115">
        <v>7</v>
      </c>
      <c r="H159" s="155"/>
      <c r="I159" s="330"/>
      <c r="J159" s="321"/>
      <c r="K159" s="374"/>
      <c r="L159" s="357"/>
      <c r="M159" s="493"/>
      <c r="N159" s="439"/>
      <c r="O159" s="495"/>
      <c r="P159" s="497"/>
    </row>
    <row r="160" spans="2:16" ht="30" customHeight="1" thickBot="1" x14ac:dyDescent="0.35">
      <c r="B160" s="444"/>
      <c r="C160" s="471"/>
      <c r="D160" s="319"/>
      <c r="E160" s="408"/>
      <c r="F160" s="322"/>
      <c r="G160" s="117">
        <v>8</v>
      </c>
      <c r="H160" s="156"/>
      <c r="I160" s="331"/>
      <c r="J160" s="322"/>
      <c r="K160" s="375"/>
      <c r="L160" s="357"/>
      <c r="M160" s="493"/>
      <c r="N160" s="439"/>
      <c r="O160" s="495"/>
      <c r="P160" s="497"/>
    </row>
  </sheetData>
  <sheetProtection password="D72A" sheet="1" objects="1" scenarios="1" formatCells="0" formatColumns="0" formatRows="0"/>
  <mergeCells count="286">
    <mergeCell ref="I137:I144"/>
    <mergeCell ref="I145:I152"/>
    <mergeCell ref="I153:I160"/>
    <mergeCell ref="H41:H42"/>
    <mergeCell ref="H84:H85"/>
    <mergeCell ref="H119:H120"/>
    <mergeCell ref="I51:I58"/>
    <mergeCell ref="I59:I66"/>
    <mergeCell ref="I67:I74"/>
    <mergeCell ref="I75:I82"/>
    <mergeCell ref="I86:I93"/>
    <mergeCell ref="I94:I101"/>
    <mergeCell ref="I102:I109"/>
    <mergeCell ref="I110:I117"/>
    <mergeCell ref="I121:I128"/>
    <mergeCell ref="P137:P144"/>
    <mergeCell ref="P145:P152"/>
    <mergeCell ref="P153:P160"/>
    <mergeCell ref="P75:P82"/>
    <mergeCell ref="P83:P85"/>
    <mergeCell ref="P86:P93"/>
    <mergeCell ref="P94:P101"/>
    <mergeCell ref="P102:P109"/>
    <mergeCell ref="P110:P117"/>
    <mergeCell ref="P118:P120"/>
    <mergeCell ref="P121:P128"/>
    <mergeCell ref="P129:P136"/>
    <mergeCell ref="P13:P15"/>
    <mergeCell ref="P16:P23"/>
    <mergeCell ref="P24:P31"/>
    <mergeCell ref="P32:P39"/>
    <mergeCell ref="P40:P42"/>
    <mergeCell ref="P43:P50"/>
    <mergeCell ref="P51:P58"/>
    <mergeCell ref="P59:P66"/>
    <mergeCell ref="P67:P74"/>
    <mergeCell ref="M137:M144"/>
    <mergeCell ref="M145:M152"/>
    <mergeCell ref="M153:M160"/>
    <mergeCell ref="O13:O15"/>
    <mergeCell ref="N16:N23"/>
    <mergeCell ref="O24:O31"/>
    <mergeCell ref="O32:O39"/>
    <mergeCell ref="O40:O42"/>
    <mergeCell ref="O43:O50"/>
    <mergeCell ref="O51:O58"/>
    <mergeCell ref="O59:O66"/>
    <mergeCell ref="O67:O74"/>
    <mergeCell ref="O75:O82"/>
    <mergeCell ref="O83:O85"/>
    <mergeCell ref="O86:O93"/>
    <mergeCell ref="O94:O101"/>
    <mergeCell ref="O102:O109"/>
    <mergeCell ref="O110:O117"/>
    <mergeCell ref="O118:O120"/>
    <mergeCell ref="O121:O128"/>
    <mergeCell ref="O129:O136"/>
    <mergeCell ref="O137:O144"/>
    <mergeCell ref="O145:O152"/>
    <mergeCell ref="O153:O160"/>
    <mergeCell ref="M75:M82"/>
    <mergeCell ref="M83:M85"/>
    <mergeCell ref="M86:M93"/>
    <mergeCell ref="M94:M101"/>
    <mergeCell ref="M102:M109"/>
    <mergeCell ref="M110:M117"/>
    <mergeCell ref="M118:M120"/>
    <mergeCell ref="M121:M128"/>
    <mergeCell ref="M129:M136"/>
    <mergeCell ref="M13:M15"/>
    <mergeCell ref="M16:M23"/>
    <mergeCell ref="M24:M31"/>
    <mergeCell ref="M32:M39"/>
    <mergeCell ref="M40:M42"/>
    <mergeCell ref="M43:M50"/>
    <mergeCell ref="M51:M58"/>
    <mergeCell ref="M59:M66"/>
    <mergeCell ref="M67:M74"/>
    <mergeCell ref="L13:L15"/>
    <mergeCell ref="L16:L23"/>
    <mergeCell ref="L24:L31"/>
    <mergeCell ref="L32:L39"/>
    <mergeCell ref="L40:L42"/>
    <mergeCell ref="L43:L50"/>
    <mergeCell ref="L51:L58"/>
    <mergeCell ref="L59:L66"/>
    <mergeCell ref="L67:L74"/>
    <mergeCell ref="L75:L82"/>
    <mergeCell ref="L83:L85"/>
    <mergeCell ref="L86:L93"/>
    <mergeCell ref="L94:L101"/>
    <mergeCell ref="L102:L109"/>
    <mergeCell ref="L110:L117"/>
    <mergeCell ref="L118:L120"/>
    <mergeCell ref="L121:L128"/>
    <mergeCell ref="L129:L136"/>
    <mergeCell ref="L137:L144"/>
    <mergeCell ref="L145:L152"/>
    <mergeCell ref="L153:L160"/>
    <mergeCell ref="J137:J144"/>
    <mergeCell ref="C94:C101"/>
    <mergeCell ref="D94:D101"/>
    <mergeCell ref="E94:E101"/>
    <mergeCell ref="F94:F101"/>
    <mergeCell ref="J94:J101"/>
    <mergeCell ref="C102:C109"/>
    <mergeCell ref="D102:D109"/>
    <mergeCell ref="E102:E109"/>
    <mergeCell ref="F102:F109"/>
    <mergeCell ref="J102:J109"/>
    <mergeCell ref="C121:C128"/>
    <mergeCell ref="E121:E128"/>
    <mergeCell ref="F121:F128"/>
    <mergeCell ref="F118:F120"/>
    <mergeCell ref="C145:C152"/>
    <mergeCell ref="F145:F152"/>
    <mergeCell ref="D145:D152"/>
    <mergeCell ref="E145:E152"/>
    <mergeCell ref="F153:F160"/>
    <mergeCell ref="K121:K128"/>
    <mergeCell ref="C67:C74"/>
    <mergeCell ref="D67:D74"/>
    <mergeCell ref="E67:E74"/>
    <mergeCell ref="F67:F74"/>
    <mergeCell ref="J67:J74"/>
    <mergeCell ref="E83:E85"/>
    <mergeCell ref="E118:E120"/>
    <mergeCell ref="G84:G85"/>
    <mergeCell ref="G14:G15"/>
    <mergeCell ref="C24:C31"/>
    <mergeCell ref="E24:E31"/>
    <mergeCell ref="F24:F31"/>
    <mergeCell ref="C13:C15"/>
    <mergeCell ref="C83:C85"/>
    <mergeCell ref="F83:F85"/>
    <mergeCell ref="C75:C82"/>
    <mergeCell ref="E75:E82"/>
    <mergeCell ref="F75:F82"/>
    <mergeCell ref="D75:D82"/>
    <mergeCell ref="D83:D85"/>
    <mergeCell ref="D118:D120"/>
    <mergeCell ref="C118:C120"/>
    <mergeCell ref="C32:C39"/>
    <mergeCell ref="E32:E39"/>
    <mergeCell ref="F32:F39"/>
    <mergeCell ref="D32:D39"/>
    <mergeCell ref="I41:I42"/>
    <mergeCell ref="C43:C50"/>
    <mergeCell ref="E43:E50"/>
    <mergeCell ref="G40:I40"/>
    <mergeCell ref="F40:F42"/>
    <mergeCell ref="F43:F50"/>
    <mergeCell ref="E40:E42"/>
    <mergeCell ref="I32:I39"/>
    <mergeCell ref="I43:I50"/>
    <mergeCell ref="F59:F66"/>
    <mergeCell ref="G41:G42"/>
    <mergeCell ref="C51:C58"/>
    <mergeCell ref="D40:D42"/>
    <mergeCell ref="D59:D66"/>
    <mergeCell ref="C40:C42"/>
    <mergeCell ref="C59:C66"/>
    <mergeCell ref="E59:E66"/>
    <mergeCell ref="D43:D50"/>
    <mergeCell ref="D51:D58"/>
    <mergeCell ref="E51:E58"/>
    <mergeCell ref="F51:F58"/>
    <mergeCell ref="J118:J120"/>
    <mergeCell ref="J129:J136"/>
    <mergeCell ref="J153:J160"/>
    <mergeCell ref="G119:G120"/>
    <mergeCell ref="G83:I83"/>
    <mergeCell ref="G118:I118"/>
    <mergeCell ref="C86:C93"/>
    <mergeCell ref="E86:E93"/>
    <mergeCell ref="F86:F93"/>
    <mergeCell ref="C110:C117"/>
    <mergeCell ref="E110:E117"/>
    <mergeCell ref="F110:F117"/>
    <mergeCell ref="D110:D117"/>
    <mergeCell ref="D86:D93"/>
    <mergeCell ref="C137:C144"/>
    <mergeCell ref="D137:D144"/>
    <mergeCell ref="E137:E144"/>
    <mergeCell ref="F137:F144"/>
    <mergeCell ref="D129:D136"/>
    <mergeCell ref="D121:D128"/>
    <mergeCell ref="C129:C136"/>
    <mergeCell ref="E129:E136"/>
    <mergeCell ref="F129:F136"/>
    <mergeCell ref="I129:I136"/>
    <mergeCell ref="E16:E23"/>
    <mergeCell ref="D24:D31"/>
    <mergeCell ref="E13:E15"/>
    <mergeCell ref="D13:D15"/>
    <mergeCell ref="J13:J15"/>
    <mergeCell ref="H14:H15"/>
    <mergeCell ref="I16:I23"/>
    <mergeCell ref="I24:I31"/>
    <mergeCell ref="C153:C160"/>
    <mergeCell ref="E153:E160"/>
    <mergeCell ref="D153:D160"/>
    <mergeCell ref="J32:J39"/>
    <mergeCell ref="J40:J42"/>
    <mergeCell ref="J43:J50"/>
    <mergeCell ref="J51:J58"/>
    <mergeCell ref="J59:J66"/>
    <mergeCell ref="J75:J82"/>
    <mergeCell ref="J83:J85"/>
    <mergeCell ref="J86:J93"/>
    <mergeCell ref="J145:J152"/>
    <mergeCell ref="J121:J128"/>
    <mergeCell ref="I84:I85"/>
    <mergeCell ref="I119:I120"/>
    <mergeCell ref="J110:J117"/>
    <mergeCell ref="K145:K152"/>
    <mergeCell ref="K153:K160"/>
    <mergeCell ref="C10:K10"/>
    <mergeCell ref="C11:K11"/>
    <mergeCell ref="K13:K15"/>
    <mergeCell ref="K40:K42"/>
    <mergeCell ref="K83:K85"/>
    <mergeCell ref="K118:K120"/>
    <mergeCell ref="K16:K23"/>
    <mergeCell ref="K24:K31"/>
    <mergeCell ref="K32:K39"/>
    <mergeCell ref="K43:K50"/>
    <mergeCell ref="K51:K58"/>
    <mergeCell ref="K59:K66"/>
    <mergeCell ref="K67:K74"/>
    <mergeCell ref="K75:K82"/>
    <mergeCell ref="K86:K93"/>
    <mergeCell ref="K94:K101"/>
    <mergeCell ref="K102:K109"/>
    <mergeCell ref="K110:K117"/>
    <mergeCell ref="G13:I13"/>
    <mergeCell ref="J16:J23"/>
    <mergeCell ref="J24:J31"/>
    <mergeCell ref="I14:I15"/>
    <mergeCell ref="B145:B152"/>
    <mergeCell ref="B153:B160"/>
    <mergeCell ref="B86:B93"/>
    <mergeCell ref="B94:B101"/>
    <mergeCell ref="B121:B128"/>
    <mergeCell ref="B129:B136"/>
    <mergeCell ref="B75:B82"/>
    <mergeCell ref="B83:B85"/>
    <mergeCell ref="B102:B109"/>
    <mergeCell ref="B110:B117"/>
    <mergeCell ref="B118:B120"/>
    <mergeCell ref="N13:N15"/>
    <mergeCell ref="N24:N31"/>
    <mergeCell ref="N32:N39"/>
    <mergeCell ref="N40:N42"/>
    <mergeCell ref="N43:N50"/>
    <mergeCell ref="N51:N58"/>
    <mergeCell ref="N59:N66"/>
    <mergeCell ref="N67:N74"/>
    <mergeCell ref="B137:B144"/>
    <mergeCell ref="B13:B15"/>
    <mergeCell ref="B16:B23"/>
    <mergeCell ref="B24:B31"/>
    <mergeCell ref="B32:B39"/>
    <mergeCell ref="B51:B58"/>
    <mergeCell ref="B59:B66"/>
    <mergeCell ref="B67:B74"/>
    <mergeCell ref="B40:B42"/>
    <mergeCell ref="B43:B50"/>
    <mergeCell ref="K129:K136"/>
    <mergeCell ref="K137:K144"/>
    <mergeCell ref="F13:F15"/>
    <mergeCell ref="C16:C23"/>
    <mergeCell ref="D16:D23"/>
    <mergeCell ref="F16:F23"/>
    <mergeCell ref="N137:N144"/>
    <mergeCell ref="N145:N152"/>
    <mergeCell ref="N153:N160"/>
    <mergeCell ref="N75:N82"/>
    <mergeCell ref="N83:N85"/>
    <mergeCell ref="N86:N93"/>
    <mergeCell ref="N94:N101"/>
    <mergeCell ref="N102:N109"/>
    <mergeCell ref="N110:N117"/>
    <mergeCell ref="N118:N120"/>
    <mergeCell ref="N121:N128"/>
    <mergeCell ref="N129:N136"/>
  </mergeCells>
  <dataValidations count="1">
    <dataValidation type="list" allowBlank="1" showInputMessage="1" showErrorMessage="1" sqref="F121:F160 F43:F82 J16:J39 F86:F117 J86:J117 F16:F39 J43:J82 J121:J160">
      <formula1>"1,2,3"</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39997558519241921"/>
  </sheetPr>
  <dimension ref="B1:O198"/>
  <sheetViews>
    <sheetView showGridLines="0" topLeftCell="A22" zoomScale="80" zoomScaleNormal="80" workbookViewId="0">
      <selection activeCell="I37" sqref="I37:I44"/>
    </sheetView>
  </sheetViews>
  <sheetFormatPr baseColWidth="10" defaultColWidth="3.140625" defaultRowHeight="22.5" customHeight="1" x14ac:dyDescent="0.3"/>
  <cols>
    <col min="1" max="1" width="2.5703125" style="12" customWidth="1"/>
    <col min="2" max="2" width="4.42578125" style="12" hidden="1" customWidth="1"/>
    <col min="3" max="4" width="42.5703125" style="12" customWidth="1"/>
    <col min="5" max="5" width="44.28515625" style="12" customWidth="1"/>
    <col min="6" max="6" width="7.42578125" style="12" customWidth="1"/>
    <col min="7" max="7" width="3.5703125" style="12" bestFit="1" customWidth="1"/>
    <col min="8" max="8" width="43.140625" style="12" customWidth="1"/>
    <col min="9" max="9" width="42.5703125" style="12" customWidth="1"/>
    <col min="10" max="10" width="7.42578125" style="12" customWidth="1"/>
    <col min="11" max="11" width="26" style="12" customWidth="1"/>
    <col min="12" max="13" width="8" style="84" customWidth="1"/>
    <col min="14" max="14" width="12" style="84" customWidth="1"/>
    <col min="15" max="15" width="3.140625" style="49" customWidth="1"/>
    <col min="16" max="16363" width="3.140625" style="12" customWidth="1"/>
    <col min="16364" max="16384" width="3.140625" style="12"/>
  </cols>
  <sheetData>
    <row r="1" spans="3:11" ht="9.9499999999999993" customHeight="1" x14ac:dyDescent="0.3"/>
    <row r="2" spans="3:11" ht="9.9499999999999993" customHeight="1" x14ac:dyDescent="0.3"/>
    <row r="3" spans="3:11" ht="9.9499999999999993" customHeight="1" x14ac:dyDescent="0.3"/>
    <row r="4" spans="3:11" ht="9.9499999999999993" customHeight="1" x14ac:dyDescent="0.3"/>
    <row r="5" spans="3:11" ht="9.9499999999999993" customHeight="1" x14ac:dyDescent="0.3"/>
    <row r="6" spans="3:11" ht="9.9499999999999993" customHeight="1" x14ac:dyDescent="0.3"/>
    <row r="7" spans="3:11" ht="9.9499999999999993" customHeight="1" x14ac:dyDescent="0.3"/>
    <row r="8" spans="3:11" ht="9.9499999999999993" customHeight="1" x14ac:dyDescent="0.3"/>
    <row r="9" spans="3:11" ht="9.9499999999999993" customHeight="1" x14ac:dyDescent="0.3"/>
    <row r="10" spans="3:11" ht="9.9499999999999993" customHeight="1" x14ac:dyDescent="0.3"/>
    <row r="11" spans="3:11" ht="9.9499999999999993" customHeight="1" x14ac:dyDescent="0.3"/>
    <row r="12" spans="3:11" ht="31.5" customHeight="1" x14ac:dyDescent="0.3"/>
    <row r="13" spans="3:11" ht="24.75" customHeight="1" x14ac:dyDescent="0.3"/>
    <row r="14" spans="3:11" ht="20.25" customHeight="1" x14ac:dyDescent="0.3"/>
    <row r="15" spans="3:11" ht="20.100000000000001" customHeight="1" x14ac:dyDescent="0.3">
      <c r="C15" s="511" t="s">
        <v>240</v>
      </c>
      <c r="D15" s="511"/>
      <c r="E15" s="511"/>
      <c r="F15" s="511"/>
      <c r="G15" s="511"/>
      <c r="H15" s="511"/>
      <c r="I15" s="511"/>
      <c r="J15" s="511"/>
      <c r="K15" s="511"/>
    </row>
    <row r="16" spans="3:11" ht="37.700000000000003" customHeight="1" x14ac:dyDescent="0.3">
      <c r="C16" s="422" t="s">
        <v>241</v>
      </c>
      <c r="D16" s="422"/>
      <c r="E16" s="422"/>
      <c r="F16" s="422"/>
      <c r="G16" s="422"/>
      <c r="H16" s="422"/>
      <c r="I16" s="422"/>
      <c r="J16" s="422"/>
      <c r="K16" s="422"/>
    </row>
    <row r="17" spans="2:14" ht="9.9499999999999993" customHeight="1" thickBot="1" x14ac:dyDescent="0.35">
      <c r="C17" s="13"/>
      <c r="D17" s="13"/>
      <c r="F17" s="14"/>
    </row>
    <row r="18" spans="2:14" ht="36.75" customHeight="1" x14ac:dyDescent="0.3">
      <c r="B18" s="505" t="s">
        <v>110</v>
      </c>
      <c r="C18" s="529" t="s">
        <v>242</v>
      </c>
      <c r="D18" s="532" t="s">
        <v>8</v>
      </c>
      <c r="E18" s="532" t="s">
        <v>243</v>
      </c>
      <c r="F18" s="525" t="s">
        <v>201</v>
      </c>
      <c r="G18" s="535" t="s">
        <v>115</v>
      </c>
      <c r="H18" s="535"/>
      <c r="I18" s="535"/>
      <c r="J18" s="525" t="s">
        <v>244</v>
      </c>
      <c r="K18" s="514" t="s">
        <v>143</v>
      </c>
      <c r="L18" s="492"/>
      <c r="M18" s="492"/>
      <c r="N18" s="492"/>
    </row>
    <row r="19" spans="2:14" ht="29.25" customHeight="1" x14ac:dyDescent="0.3">
      <c r="B19" s="506"/>
      <c r="C19" s="530"/>
      <c r="D19" s="533"/>
      <c r="E19" s="533"/>
      <c r="F19" s="526"/>
      <c r="G19" s="523" t="s">
        <v>13</v>
      </c>
      <c r="H19" s="533" t="s">
        <v>15</v>
      </c>
      <c r="I19" s="533" t="s">
        <v>17</v>
      </c>
      <c r="J19" s="526"/>
      <c r="K19" s="515"/>
      <c r="L19" s="492"/>
      <c r="M19" s="492"/>
      <c r="N19" s="492"/>
    </row>
    <row r="20" spans="2:14" ht="65.25" customHeight="1" thickBot="1" x14ac:dyDescent="0.35">
      <c r="B20" s="507"/>
      <c r="C20" s="531"/>
      <c r="D20" s="534"/>
      <c r="E20" s="534"/>
      <c r="F20" s="527"/>
      <c r="G20" s="524"/>
      <c r="H20" s="524"/>
      <c r="I20" s="524"/>
      <c r="J20" s="527"/>
      <c r="K20" s="516"/>
      <c r="L20" s="492"/>
      <c r="M20" s="492"/>
      <c r="N20" s="492"/>
    </row>
    <row r="21" spans="2:14" ht="30" customHeight="1" x14ac:dyDescent="0.3">
      <c r="B21" s="335" t="str">
        <f>+LEFT(C21,4)</f>
        <v>10.1</v>
      </c>
      <c r="C21" s="520" t="s">
        <v>245</v>
      </c>
      <c r="D21" s="318" t="s">
        <v>234</v>
      </c>
      <c r="E21" s="521" t="s">
        <v>659</v>
      </c>
      <c r="F21" s="522">
        <v>3</v>
      </c>
      <c r="G21" s="114">
        <v>1</v>
      </c>
      <c r="H21" s="182" t="s">
        <v>227</v>
      </c>
      <c r="I21" s="329" t="s">
        <v>660</v>
      </c>
      <c r="J21" s="528">
        <v>3</v>
      </c>
      <c r="K21" s="428" t="str">
        <f>+IF(OR(ISBLANK(F21),ISBLANK(J21)),"",IF(OR(AND(F21=1,J21=1),AND(F21=1,J21=2),AND(F21=1,J21=3)),"Deficiencia de control mayor (diseño y ejecución)",IF(OR(AND(F21=2,J21=2),AND(F21=3,J21=1),AND(F21=3,J21=2),AND(F21=2,J21=1)),"Deficiencia de control (diseño o ejecución)",IF(AND(F21=2,J21=3),"Oportunidad de mejora","Mantenimiento del control"))))</f>
        <v>Mantenimiento del control</v>
      </c>
      <c r="L21" s="357">
        <f>+IF(K21="",152,IF(K21="Deficiencia de control mayor (diseño y ejecución)",160,IF(K21="Deficiencia de control (diseño o ejecución)",180,IF(K21="Oportunidad de mejora",200,220))))</f>
        <v>220</v>
      </c>
      <c r="M21" s="493">
        <v>3.4569000000000001</v>
      </c>
      <c r="N21" s="493">
        <f>+L21+M21</f>
        <v>223.45689999999999</v>
      </c>
    </row>
    <row r="22" spans="2:14" ht="30" customHeight="1" x14ac:dyDescent="0.3">
      <c r="B22" s="336"/>
      <c r="C22" s="315"/>
      <c r="D22" s="318"/>
      <c r="E22" s="407"/>
      <c r="F22" s="321"/>
      <c r="G22" s="115">
        <v>2</v>
      </c>
      <c r="H22" s="209" t="s">
        <v>228</v>
      </c>
      <c r="I22" s="330"/>
      <c r="J22" s="345"/>
      <c r="K22" s="374"/>
      <c r="L22" s="357"/>
      <c r="M22" s="493"/>
      <c r="N22" s="493"/>
    </row>
    <row r="23" spans="2:14" ht="30" customHeight="1" thickBot="1" x14ac:dyDescent="0.35">
      <c r="B23" s="336"/>
      <c r="C23" s="315"/>
      <c r="D23" s="318"/>
      <c r="E23" s="407"/>
      <c r="F23" s="321"/>
      <c r="G23" s="115">
        <v>3</v>
      </c>
      <c r="H23" s="209" t="s">
        <v>246</v>
      </c>
      <c r="I23" s="330"/>
      <c r="J23" s="345"/>
      <c r="K23" s="374"/>
      <c r="L23" s="357"/>
      <c r="M23" s="493"/>
      <c r="N23" s="493"/>
    </row>
    <row r="24" spans="2:14" ht="50.25" customHeight="1" thickBot="1" x14ac:dyDescent="0.35">
      <c r="B24" s="336"/>
      <c r="C24" s="315"/>
      <c r="D24" s="318"/>
      <c r="E24" s="407"/>
      <c r="F24" s="321"/>
      <c r="G24" s="115">
        <v>4</v>
      </c>
      <c r="H24" s="208" t="s">
        <v>499</v>
      </c>
      <c r="I24" s="330"/>
      <c r="J24" s="345"/>
      <c r="K24" s="374"/>
      <c r="L24" s="357"/>
      <c r="M24" s="493"/>
      <c r="N24" s="493"/>
    </row>
    <row r="25" spans="2:14" ht="30" customHeight="1" x14ac:dyDescent="0.3">
      <c r="B25" s="336"/>
      <c r="C25" s="315"/>
      <c r="D25" s="318"/>
      <c r="E25" s="407"/>
      <c r="F25" s="321"/>
      <c r="G25" s="115">
        <v>5</v>
      </c>
      <c r="H25" s="208"/>
      <c r="I25" s="330"/>
      <c r="J25" s="345"/>
      <c r="K25" s="374"/>
      <c r="L25" s="357"/>
      <c r="M25" s="493"/>
      <c r="N25" s="493"/>
    </row>
    <row r="26" spans="2:14" ht="30" customHeight="1" x14ac:dyDescent="0.3">
      <c r="B26" s="336"/>
      <c r="C26" s="315"/>
      <c r="D26" s="318"/>
      <c r="E26" s="407"/>
      <c r="F26" s="321"/>
      <c r="G26" s="115">
        <v>6</v>
      </c>
      <c r="H26" s="115"/>
      <c r="I26" s="330"/>
      <c r="J26" s="345"/>
      <c r="K26" s="374"/>
      <c r="L26" s="357"/>
      <c r="M26" s="493"/>
      <c r="N26" s="493"/>
    </row>
    <row r="27" spans="2:14" ht="30" customHeight="1" x14ac:dyDescent="0.3">
      <c r="B27" s="336"/>
      <c r="C27" s="315"/>
      <c r="D27" s="318"/>
      <c r="E27" s="407"/>
      <c r="F27" s="321"/>
      <c r="G27" s="115">
        <v>7</v>
      </c>
      <c r="H27" s="115"/>
      <c r="I27" s="330"/>
      <c r="J27" s="345"/>
      <c r="K27" s="374"/>
      <c r="L27" s="357"/>
      <c r="M27" s="493"/>
      <c r="N27" s="493"/>
    </row>
    <row r="28" spans="2:14" ht="30" customHeight="1" thickBot="1" x14ac:dyDescent="0.35">
      <c r="B28" s="337"/>
      <c r="C28" s="316"/>
      <c r="D28" s="319"/>
      <c r="E28" s="408"/>
      <c r="F28" s="322"/>
      <c r="G28" s="117">
        <v>8</v>
      </c>
      <c r="H28" s="117"/>
      <c r="I28" s="331"/>
      <c r="J28" s="346"/>
      <c r="K28" s="375"/>
      <c r="L28" s="357"/>
      <c r="M28" s="493"/>
      <c r="N28" s="493"/>
    </row>
    <row r="29" spans="2:14" ht="38.25" customHeight="1" x14ac:dyDescent="0.3">
      <c r="B29" s="335" t="str">
        <f>+LEFT(C29,4)</f>
        <v>10.2</v>
      </c>
      <c r="C29" s="314" t="s">
        <v>247</v>
      </c>
      <c r="D29" s="317" t="s">
        <v>234</v>
      </c>
      <c r="E29" s="406" t="s">
        <v>658</v>
      </c>
      <c r="F29" s="320">
        <v>2</v>
      </c>
      <c r="G29" s="118">
        <v>1</v>
      </c>
      <c r="H29" s="208" t="s">
        <v>499</v>
      </c>
      <c r="I29" s="329" t="s">
        <v>646</v>
      </c>
      <c r="J29" s="344">
        <v>3</v>
      </c>
      <c r="K29" s="373" t="str">
        <f>+IF(OR(ISBLANK(F29),ISBLANK(J29)),"",IF(OR(AND(F29=1,J29=1),AND(F29=1,J29=2),AND(F29=1,J29=3)),"Deficiencia de control mayor (diseño y ejecución)",IF(OR(AND(F29=2,J29=2),AND(F29=3,J29=1),AND(F29=3,J29=2),AND(F29=2,J29=1)),"Deficiencia de control (diseño o ejecución)",IF(AND(F29=2,J29=3),"Oportunidad de mejora","Mantenimiento del control"))))</f>
        <v>Oportunidad de mejora</v>
      </c>
      <c r="L29" s="357">
        <f>+IF(K29="",152,IF(K29="Deficiencia de control mayor (diseño y ejecución)",160,IF(K29="Deficiencia de control (diseño o ejecución)",180,IF(K29="Oportunidad de mejora",200,220))))</f>
        <v>200</v>
      </c>
      <c r="M29" s="493">
        <v>3.5478000000000001</v>
      </c>
      <c r="N29" s="493">
        <f>+L29+M29</f>
        <v>203.5478</v>
      </c>
    </row>
    <row r="30" spans="2:14" ht="30" customHeight="1" x14ac:dyDescent="0.3">
      <c r="B30" s="336"/>
      <c r="C30" s="315"/>
      <c r="D30" s="318"/>
      <c r="E30" s="407"/>
      <c r="F30" s="321"/>
      <c r="G30" s="115">
        <v>2</v>
      </c>
      <c r="H30" s="241" t="s">
        <v>644</v>
      </c>
      <c r="I30" s="330"/>
      <c r="J30" s="345"/>
      <c r="K30" s="374"/>
      <c r="L30" s="357"/>
      <c r="M30" s="493"/>
      <c r="N30" s="493"/>
    </row>
    <row r="31" spans="2:14" ht="30" customHeight="1" x14ac:dyDescent="0.3">
      <c r="B31" s="336"/>
      <c r="C31" s="315"/>
      <c r="D31" s="318"/>
      <c r="E31" s="407"/>
      <c r="F31" s="321"/>
      <c r="G31" s="115">
        <v>3</v>
      </c>
      <c r="H31" s="241" t="s">
        <v>639</v>
      </c>
      <c r="I31" s="330"/>
      <c r="J31" s="345"/>
      <c r="K31" s="374"/>
      <c r="L31" s="357"/>
      <c r="M31" s="493"/>
      <c r="N31" s="493"/>
    </row>
    <row r="32" spans="2:14" ht="30" customHeight="1" x14ac:dyDescent="0.3">
      <c r="B32" s="336"/>
      <c r="C32" s="315"/>
      <c r="D32" s="318"/>
      <c r="E32" s="407"/>
      <c r="F32" s="321"/>
      <c r="G32" s="115">
        <v>4</v>
      </c>
      <c r="H32" s="241" t="s">
        <v>249</v>
      </c>
      <c r="I32" s="330"/>
      <c r="J32" s="345"/>
      <c r="K32" s="374"/>
      <c r="L32" s="357"/>
      <c r="M32" s="493"/>
      <c r="N32" s="493"/>
    </row>
    <row r="33" spans="2:14" ht="45.75" customHeight="1" x14ac:dyDescent="0.3">
      <c r="B33" s="336"/>
      <c r="C33" s="315"/>
      <c r="D33" s="318"/>
      <c r="E33" s="407"/>
      <c r="F33" s="321"/>
      <c r="G33" s="115">
        <v>5</v>
      </c>
      <c r="H33" s="210" t="s">
        <v>498</v>
      </c>
      <c r="I33" s="330"/>
      <c r="J33" s="345"/>
      <c r="K33" s="374"/>
      <c r="L33" s="357"/>
      <c r="M33" s="493"/>
      <c r="N33" s="493"/>
    </row>
    <row r="34" spans="2:14" ht="30" customHeight="1" x14ac:dyDescent="0.3">
      <c r="B34" s="336"/>
      <c r="C34" s="315"/>
      <c r="D34" s="318"/>
      <c r="E34" s="407"/>
      <c r="F34" s="321"/>
      <c r="G34" s="115">
        <v>6</v>
      </c>
      <c r="H34" s="238" t="s">
        <v>645</v>
      </c>
      <c r="I34" s="330"/>
      <c r="J34" s="345"/>
      <c r="K34" s="374"/>
      <c r="L34" s="357"/>
      <c r="M34" s="493"/>
      <c r="N34" s="493"/>
    </row>
    <row r="35" spans="2:14" ht="30" customHeight="1" x14ac:dyDescent="0.3">
      <c r="B35" s="336"/>
      <c r="C35" s="315"/>
      <c r="D35" s="318"/>
      <c r="E35" s="407"/>
      <c r="F35" s="321"/>
      <c r="G35" s="115">
        <v>7</v>
      </c>
      <c r="H35" s="115"/>
      <c r="I35" s="330"/>
      <c r="J35" s="345"/>
      <c r="K35" s="374"/>
      <c r="L35" s="357"/>
      <c r="M35" s="493"/>
      <c r="N35" s="493"/>
    </row>
    <row r="36" spans="2:14" ht="30" customHeight="1" thickBot="1" x14ac:dyDescent="0.35">
      <c r="B36" s="337"/>
      <c r="C36" s="316"/>
      <c r="D36" s="319"/>
      <c r="E36" s="408"/>
      <c r="F36" s="322"/>
      <c r="G36" s="117">
        <v>8</v>
      </c>
      <c r="H36" s="117"/>
      <c r="I36" s="331"/>
      <c r="J36" s="346"/>
      <c r="K36" s="375"/>
      <c r="L36" s="357"/>
      <c r="M36" s="493"/>
      <c r="N36" s="493"/>
    </row>
    <row r="37" spans="2:14" ht="30" customHeight="1" x14ac:dyDescent="0.3">
      <c r="B37" s="335" t="str">
        <f>+LEFT(C37,4)</f>
        <v>10.3</v>
      </c>
      <c r="C37" s="314" t="s">
        <v>250</v>
      </c>
      <c r="D37" s="317" t="s">
        <v>251</v>
      </c>
      <c r="E37" s="406" t="s">
        <v>649</v>
      </c>
      <c r="F37" s="320">
        <v>3</v>
      </c>
      <c r="G37" s="118">
        <v>1</v>
      </c>
      <c r="H37" s="211" t="s">
        <v>648</v>
      </c>
      <c r="I37" s="329" t="s">
        <v>647</v>
      </c>
      <c r="J37" s="344">
        <v>3</v>
      </c>
      <c r="K37" s="373" t="str">
        <f>+IF(OR(ISBLANK(F37),ISBLANK(J37)),"",IF(OR(AND(F37=1,J37=1),AND(F37=1,J37=2),AND(F37=1,J37=3)),"Deficiencia de control mayor (diseño y ejecución)",IF(OR(AND(F37=2,J37=2),AND(F37=3,J37=1),AND(F37=3,J37=2),AND(F37=2,J37=1)),"Deficiencia de control (diseño o ejecución)",IF(AND(F37=2,J37=3),"Oportunidad de mejora","Mantenimiento del control"))))</f>
        <v>Mantenimiento del control</v>
      </c>
      <c r="L37" s="357">
        <f>+IF(K37="",152,IF(K37="Deficiencia de control mayor (diseño y ejecución)",160,IF(K37="Deficiencia de control (diseño o ejecución)",180,IF(K37="Oportunidad de mejora",200,220))))</f>
        <v>220</v>
      </c>
      <c r="M37" s="493">
        <v>3.6457999999999999</v>
      </c>
      <c r="N37" s="493">
        <f>+L37+M37</f>
        <v>223.64580000000001</v>
      </c>
    </row>
    <row r="38" spans="2:14" ht="30" customHeight="1" x14ac:dyDescent="0.3">
      <c r="B38" s="336"/>
      <c r="C38" s="315"/>
      <c r="D38" s="318"/>
      <c r="E38" s="407"/>
      <c r="F38" s="321"/>
      <c r="G38" s="115">
        <v>2</v>
      </c>
      <c r="H38" s="209" t="s">
        <v>514</v>
      </c>
      <c r="I38" s="330"/>
      <c r="J38" s="345"/>
      <c r="K38" s="374"/>
      <c r="L38" s="357"/>
      <c r="M38" s="493"/>
      <c r="N38" s="493"/>
    </row>
    <row r="39" spans="2:14" ht="30" customHeight="1" x14ac:dyDescent="0.3">
      <c r="B39" s="336"/>
      <c r="C39" s="315"/>
      <c r="D39" s="318"/>
      <c r="E39" s="407"/>
      <c r="F39" s="321"/>
      <c r="G39" s="115">
        <v>3</v>
      </c>
      <c r="H39" s="209"/>
      <c r="I39" s="330"/>
      <c r="J39" s="345"/>
      <c r="K39" s="374"/>
      <c r="L39" s="357"/>
      <c r="M39" s="493"/>
      <c r="N39" s="493"/>
    </row>
    <row r="40" spans="2:14" ht="30" customHeight="1" x14ac:dyDescent="0.3">
      <c r="B40" s="336"/>
      <c r="C40" s="315"/>
      <c r="D40" s="318"/>
      <c r="E40" s="407"/>
      <c r="F40" s="321"/>
      <c r="G40" s="115">
        <v>4</v>
      </c>
      <c r="H40" s="166"/>
      <c r="I40" s="330"/>
      <c r="J40" s="345"/>
      <c r="K40" s="374"/>
      <c r="L40" s="357"/>
      <c r="M40" s="493"/>
      <c r="N40" s="493"/>
    </row>
    <row r="41" spans="2:14" ht="30" customHeight="1" x14ac:dyDescent="0.3">
      <c r="B41" s="336"/>
      <c r="C41" s="315"/>
      <c r="D41" s="318"/>
      <c r="E41" s="407"/>
      <c r="F41" s="321"/>
      <c r="G41" s="115">
        <v>5</v>
      </c>
      <c r="H41" s="115"/>
      <c r="I41" s="330"/>
      <c r="J41" s="345"/>
      <c r="K41" s="374"/>
      <c r="L41" s="357"/>
      <c r="M41" s="493"/>
      <c r="N41" s="493"/>
    </row>
    <row r="42" spans="2:14" ht="30" customHeight="1" x14ac:dyDescent="0.3">
      <c r="B42" s="336"/>
      <c r="C42" s="315"/>
      <c r="D42" s="318"/>
      <c r="E42" s="407"/>
      <c r="F42" s="321"/>
      <c r="G42" s="115">
        <v>6</v>
      </c>
      <c r="H42" s="115"/>
      <c r="I42" s="330"/>
      <c r="J42" s="345"/>
      <c r="K42" s="374"/>
      <c r="L42" s="357"/>
      <c r="M42" s="493"/>
      <c r="N42" s="493"/>
    </row>
    <row r="43" spans="2:14" ht="30" customHeight="1" x14ac:dyDescent="0.3">
      <c r="B43" s="336"/>
      <c r="C43" s="315"/>
      <c r="D43" s="318"/>
      <c r="E43" s="407"/>
      <c r="F43" s="321"/>
      <c r="G43" s="115">
        <v>7</v>
      </c>
      <c r="H43" s="115"/>
      <c r="I43" s="330"/>
      <c r="J43" s="345"/>
      <c r="K43" s="374"/>
      <c r="L43" s="357"/>
      <c r="M43" s="493"/>
      <c r="N43" s="493"/>
    </row>
    <row r="44" spans="2:14" ht="30" customHeight="1" thickBot="1" x14ac:dyDescent="0.35">
      <c r="B44" s="337"/>
      <c r="C44" s="316"/>
      <c r="D44" s="319"/>
      <c r="E44" s="408"/>
      <c r="F44" s="322"/>
      <c r="G44" s="117">
        <v>8</v>
      </c>
      <c r="H44" s="117"/>
      <c r="I44" s="331"/>
      <c r="J44" s="346"/>
      <c r="K44" s="375"/>
      <c r="L44" s="357"/>
      <c r="M44" s="493"/>
      <c r="N44" s="493"/>
    </row>
    <row r="45" spans="2:14" ht="30" customHeight="1" x14ac:dyDescent="0.3">
      <c r="B45" s="508"/>
      <c r="C45" s="529" t="s">
        <v>252</v>
      </c>
      <c r="D45" s="553" t="s">
        <v>8</v>
      </c>
      <c r="E45" s="547" t="s">
        <v>243</v>
      </c>
      <c r="F45" s="554" t="s">
        <v>201</v>
      </c>
      <c r="G45" s="556" t="s">
        <v>115</v>
      </c>
      <c r="H45" s="557"/>
      <c r="I45" s="557"/>
      <c r="J45" s="554" t="s">
        <v>244</v>
      </c>
      <c r="K45" s="517" t="s">
        <v>143</v>
      </c>
      <c r="L45" s="491"/>
      <c r="M45" s="491"/>
      <c r="N45" s="491"/>
    </row>
    <row r="46" spans="2:14" ht="30" customHeight="1" x14ac:dyDescent="0.3">
      <c r="B46" s="509"/>
      <c r="C46" s="530"/>
      <c r="D46" s="545"/>
      <c r="E46" s="548"/>
      <c r="F46" s="536"/>
      <c r="G46" s="538" t="s">
        <v>13</v>
      </c>
      <c r="H46" s="542" t="s">
        <v>15</v>
      </c>
      <c r="I46" s="542" t="s">
        <v>17</v>
      </c>
      <c r="J46" s="536"/>
      <c r="K46" s="518"/>
      <c r="L46" s="491"/>
      <c r="M46" s="491"/>
      <c r="N46" s="491"/>
    </row>
    <row r="47" spans="2:14" ht="30" customHeight="1" thickBot="1" x14ac:dyDescent="0.35">
      <c r="B47" s="510"/>
      <c r="C47" s="531"/>
      <c r="D47" s="546"/>
      <c r="E47" s="549"/>
      <c r="F47" s="555"/>
      <c r="G47" s="558"/>
      <c r="H47" s="543"/>
      <c r="I47" s="543"/>
      <c r="J47" s="555"/>
      <c r="K47" s="519"/>
      <c r="L47" s="491"/>
      <c r="M47" s="491"/>
      <c r="N47" s="491"/>
    </row>
    <row r="48" spans="2:14" ht="30" customHeight="1" thickBot="1" x14ac:dyDescent="0.35">
      <c r="B48" s="335" t="str">
        <f>+LEFT(C48,4)</f>
        <v>11.1</v>
      </c>
      <c r="C48" s="314" t="s">
        <v>253</v>
      </c>
      <c r="D48" s="317" t="s">
        <v>254</v>
      </c>
      <c r="E48" s="303" t="s">
        <v>656</v>
      </c>
      <c r="F48" s="344">
        <v>2</v>
      </c>
      <c r="G48" s="118">
        <v>1</v>
      </c>
      <c r="H48" s="237" t="s">
        <v>650</v>
      </c>
      <c r="I48" s="329" t="s">
        <v>657</v>
      </c>
      <c r="J48" s="344">
        <v>3</v>
      </c>
      <c r="K48" s="373" t="str">
        <f>+IF(OR(ISBLANK(F48),ISBLANK(J48)),"",IF(OR(AND(F48=1,J48=1),AND(F48=1,J48=2),AND(F48=1,J48=3)),"Deficiencia de control mayor (diseño y ejecución)",IF(OR(AND(F48=2,J48=2),AND(F48=3,J48=1),AND(F48=3,J48=2),AND(F48=2,J48=1)),"Deficiencia de control (diseño o ejecución)",IF(AND(F48=2,J48=3),"Oportunidad de mejora","Mantenimiento del control"))))</f>
        <v>Oportunidad de mejora</v>
      </c>
      <c r="L48" s="357">
        <f>+IF(K48="",152,IF(K48="Deficiencia de control mayor (diseño y ejecución)",160,IF(K48="Deficiencia de control (diseño o ejecución)",180,IF(K48="Oportunidad de mejora",200,220))))</f>
        <v>200</v>
      </c>
      <c r="M48" s="493">
        <v>3.7896000000000001</v>
      </c>
      <c r="N48" s="493">
        <f>+L48+M48</f>
        <v>203.78960000000001</v>
      </c>
    </row>
    <row r="49" spans="2:14" ht="30" customHeight="1" thickBot="1" x14ac:dyDescent="0.35">
      <c r="B49" s="336"/>
      <c r="C49" s="315"/>
      <c r="D49" s="318"/>
      <c r="E49" s="304"/>
      <c r="F49" s="345"/>
      <c r="G49" s="115">
        <v>2</v>
      </c>
      <c r="H49" s="237" t="s">
        <v>496</v>
      </c>
      <c r="I49" s="330"/>
      <c r="J49" s="345"/>
      <c r="K49" s="374"/>
      <c r="L49" s="357"/>
      <c r="M49" s="493"/>
      <c r="N49" s="493"/>
    </row>
    <row r="50" spans="2:14" ht="34.5" customHeight="1" thickBot="1" x14ac:dyDescent="0.35">
      <c r="B50" s="336"/>
      <c r="C50" s="315"/>
      <c r="D50" s="318"/>
      <c r="E50" s="304"/>
      <c r="F50" s="345"/>
      <c r="G50" s="115">
        <v>3</v>
      </c>
      <c r="H50" s="237" t="s">
        <v>511</v>
      </c>
      <c r="I50" s="330"/>
      <c r="J50" s="345"/>
      <c r="K50" s="374"/>
      <c r="L50" s="357"/>
      <c r="M50" s="493"/>
      <c r="N50" s="493"/>
    </row>
    <row r="51" spans="2:14" ht="30" customHeight="1" thickBot="1" x14ac:dyDescent="0.35">
      <c r="B51" s="336"/>
      <c r="C51" s="315"/>
      <c r="D51" s="318"/>
      <c r="E51" s="304"/>
      <c r="F51" s="345"/>
      <c r="G51" s="115">
        <v>4</v>
      </c>
      <c r="H51" s="237" t="s">
        <v>651</v>
      </c>
      <c r="I51" s="330"/>
      <c r="J51" s="345"/>
      <c r="K51" s="374"/>
      <c r="L51" s="357"/>
      <c r="M51" s="493"/>
      <c r="N51" s="493"/>
    </row>
    <row r="52" spans="2:14" ht="30" customHeight="1" thickBot="1" x14ac:dyDescent="0.35">
      <c r="B52" s="336"/>
      <c r="C52" s="315"/>
      <c r="D52" s="318"/>
      <c r="E52" s="304"/>
      <c r="F52" s="345"/>
      <c r="G52" s="115">
        <v>5</v>
      </c>
      <c r="H52" s="237" t="s">
        <v>652</v>
      </c>
      <c r="I52" s="330"/>
      <c r="J52" s="345"/>
      <c r="K52" s="374"/>
      <c r="L52" s="357"/>
      <c r="M52" s="493"/>
      <c r="N52" s="493"/>
    </row>
    <row r="53" spans="2:14" ht="30" customHeight="1" thickBot="1" x14ac:dyDescent="0.35">
      <c r="B53" s="336"/>
      <c r="C53" s="315"/>
      <c r="D53" s="318"/>
      <c r="E53" s="304"/>
      <c r="F53" s="345"/>
      <c r="G53" s="115">
        <v>6</v>
      </c>
      <c r="H53" s="237" t="s">
        <v>653</v>
      </c>
      <c r="I53" s="330"/>
      <c r="J53" s="345"/>
      <c r="K53" s="374"/>
      <c r="L53" s="357"/>
      <c r="M53" s="493"/>
      <c r="N53" s="493"/>
    </row>
    <row r="54" spans="2:14" ht="30" customHeight="1" thickBot="1" x14ac:dyDescent="0.35">
      <c r="B54" s="336"/>
      <c r="C54" s="315"/>
      <c r="D54" s="318"/>
      <c r="E54" s="304"/>
      <c r="F54" s="345"/>
      <c r="G54" s="115">
        <v>7</v>
      </c>
      <c r="H54" s="237" t="s">
        <v>654</v>
      </c>
      <c r="I54" s="330"/>
      <c r="J54" s="345"/>
      <c r="K54" s="374"/>
      <c r="L54" s="357"/>
      <c r="M54" s="493"/>
      <c r="N54" s="493"/>
    </row>
    <row r="55" spans="2:14" ht="93.75" customHeight="1" thickBot="1" x14ac:dyDescent="0.35">
      <c r="B55" s="337"/>
      <c r="C55" s="316"/>
      <c r="D55" s="319"/>
      <c r="E55" s="305"/>
      <c r="F55" s="346"/>
      <c r="G55" s="117">
        <v>8</v>
      </c>
      <c r="H55" s="247" t="s">
        <v>655</v>
      </c>
      <c r="I55" s="331"/>
      <c r="J55" s="346"/>
      <c r="K55" s="375"/>
      <c r="L55" s="357"/>
      <c r="M55" s="493"/>
      <c r="N55" s="493"/>
    </row>
    <row r="56" spans="2:14" ht="30" customHeight="1" thickBot="1" x14ac:dyDescent="0.35">
      <c r="B56" s="335" t="str">
        <f>+LEFT(C56,4)</f>
        <v>11.2</v>
      </c>
      <c r="C56" s="314" t="s">
        <v>255</v>
      </c>
      <c r="D56" s="317" t="s">
        <v>254</v>
      </c>
      <c r="E56" s="303" t="s">
        <v>755</v>
      </c>
      <c r="F56" s="344">
        <v>3</v>
      </c>
      <c r="G56" s="118">
        <v>1</v>
      </c>
      <c r="H56" s="239" t="s">
        <v>650</v>
      </c>
      <c r="I56" s="329" t="s">
        <v>755</v>
      </c>
      <c r="J56" s="344">
        <v>3</v>
      </c>
      <c r="K56" s="373" t="str">
        <f>+IF(OR(ISBLANK(F56),ISBLANK(J56)),"",IF(OR(AND(F56=1,J56=1),AND(F56=1,J56=2),AND(F56=1,J56=3)),"Deficiencia de control mayor (diseño y ejecución)",IF(OR(AND(F56=2,J56=2),AND(F56=3,J56=1),AND(F56=3,J56=2),AND(F56=2,J56=1)),"Deficiencia de control (diseño o ejecución)",IF(AND(F56=2,J56=3),"Oportunidad de mejora","Mantenimiento del control"))))</f>
        <v>Mantenimiento del control</v>
      </c>
      <c r="L56" s="357">
        <f>+IF(K56="",152,IF(K56="Deficiencia de control mayor (diseño y ejecución)",160,IF(K56="Deficiencia de control (diseño o ejecución)",180,IF(K56="Oportunidad de mejora",200,220))))</f>
        <v>220</v>
      </c>
      <c r="M56" s="493">
        <v>3.8456000000000001</v>
      </c>
      <c r="N56" s="493">
        <f>+L56+M56</f>
        <v>223.84559999999999</v>
      </c>
    </row>
    <row r="57" spans="2:14" ht="30" customHeight="1" x14ac:dyDescent="0.3">
      <c r="B57" s="336"/>
      <c r="C57" s="315"/>
      <c r="D57" s="318"/>
      <c r="E57" s="304"/>
      <c r="F57" s="345"/>
      <c r="G57" s="115">
        <v>2</v>
      </c>
      <c r="H57" s="237" t="s">
        <v>496</v>
      </c>
      <c r="I57" s="330"/>
      <c r="J57" s="345"/>
      <c r="K57" s="374"/>
      <c r="L57" s="357"/>
      <c r="M57" s="493"/>
      <c r="N57" s="493"/>
    </row>
    <row r="58" spans="2:14" ht="30" customHeight="1" thickBot="1" x14ac:dyDescent="0.35">
      <c r="B58" s="336"/>
      <c r="C58" s="315"/>
      <c r="D58" s="318"/>
      <c r="E58" s="304"/>
      <c r="F58" s="345"/>
      <c r="G58" s="115">
        <v>3</v>
      </c>
      <c r="H58" s="238" t="s">
        <v>511</v>
      </c>
      <c r="I58" s="330"/>
      <c r="J58" s="345"/>
      <c r="K58" s="374"/>
      <c r="L58" s="357"/>
      <c r="M58" s="493"/>
      <c r="N58" s="493"/>
    </row>
    <row r="59" spans="2:14" ht="30" customHeight="1" thickBot="1" x14ac:dyDescent="0.35">
      <c r="B59" s="336"/>
      <c r="C59" s="315"/>
      <c r="D59" s="318"/>
      <c r="E59" s="304"/>
      <c r="F59" s="345"/>
      <c r="G59" s="115">
        <v>4</v>
      </c>
      <c r="H59" s="237" t="s">
        <v>651</v>
      </c>
      <c r="I59" s="330"/>
      <c r="J59" s="345"/>
      <c r="K59" s="374"/>
      <c r="L59" s="357"/>
      <c r="M59" s="493"/>
      <c r="N59" s="493"/>
    </row>
    <row r="60" spans="2:14" ht="30" customHeight="1" x14ac:dyDescent="0.3">
      <c r="B60" s="336"/>
      <c r="C60" s="315"/>
      <c r="D60" s="318"/>
      <c r="E60" s="304"/>
      <c r="F60" s="345"/>
      <c r="G60" s="115">
        <v>5</v>
      </c>
      <c r="H60" s="237" t="s">
        <v>652</v>
      </c>
      <c r="I60" s="330"/>
      <c r="J60" s="345"/>
      <c r="K60" s="374"/>
      <c r="L60" s="357"/>
      <c r="M60" s="493"/>
      <c r="N60" s="493"/>
    </row>
    <row r="61" spans="2:14" ht="30" customHeight="1" x14ac:dyDescent="0.3">
      <c r="B61" s="336"/>
      <c r="C61" s="315"/>
      <c r="D61" s="318"/>
      <c r="E61" s="304"/>
      <c r="F61" s="345"/>
      <c r="G61" s="115">
        <v>6</v>
      </c>
      <c r="H61" s="241" t="s">
        <v>249</v>
      </c>
      <c r="I61" s="330"/>
      <c r="J61" s="345"/>
      <c r="K61" s="374"/>
      <c r="L61" s="357"/>
      <c r="M61" s="493"/>
      <c r="N61" s="493"/>
    </row>
    <row r="62" spans="2:14" ht="30" customHeight="1" x14ac:dyDescent="0.3">
      <c r="B62" s="336"/>
      <c r="C62" s="315"/>
      <c r="D62" s="318"/>
      <c r="E62" s="304"/>
      <c r="F62" s="345"/>
      <c r="G62" s="115">
        <v>7</v>
      </c>
      <c r="H62" s="115"/>
      <c r="I62" s="330"/>
      <c r="J62" s="345"/>
      <c r="K62" s="374"/>
      <c r="L62" s="357"/>
      <c r="M62" s="493"/>
      <c r="N62" s="493"/>
    </row>
    <row r="63" spans="2:14" ht="30" customHeight="1" thickBot="1" x14ac:dyDescent="0.35">
      <c r="B63" s="337"/>
      <c r="C63" s="316"/>
      <c r="D63" s="319"/>
      <c r="E63" s="305"/>
      <c r="F63" s="346"/>
      <c r="G63" s="117">
        <v>8</v>
      </c>
      <c r="H63" s="117"/>
      <c r="I63" s="331"/>
      <c r="J63" s="346"/>
      <c r="K63" s="375"/>
      <c r="L63" s="357"/>
      <c r="M63" s="493"/>
      <c r="N63" s="493"/>
    </row>
    <row r="64" spans="2:14" ht="30" customHeight="1" x14ac:dyDescent="0.3">
      <c r="B64" s="335" t="str">
        <f>+LEFT(C64,4)</f>
        <v>11.3</v>
      </c>
      <c r="C64" s="314" t="s">
        <v>256</v>
      </c>
      <c r="D64" s="317" t="s">
        <v>257</v>
      </c>
      <c r="E64" s="521" t="s">
        <v>659</v>
      </c>
      <c r="F64" s="344">
        <v>3</v>
      </c>
      <c r="G64" s="118">
        <v>1</v>
      </c>
      <c r="H64" s="182" t="s">
        <v>227</v>
      </c>
      <c r="I64" s="329" t="s">
        <v>661</v>
      </c>
      <c r="J64" s="344">
        <v>3</v>
      </c>
      <c r="K64" s="373" t="str">
        <f>+IF(OR(ISBLANK(F64),ISBLANK(J64)),"",IF(OR(AND(F64=1,J64=1),AND(F64=1,J64=2),AND(F64=1,J64=3)),"Deficiencia de control mayor (diseño y ejecución)",IF(OR(AND(F64=2,J64=2),AND(F64=3,J64=1),AND(F64=3,J64=2),AND(F64=2,J64=1)),"Deficiencia de control (diseño o ejecución)",IF(AND(F64=2,J64=3),"Oportunidad de mejora","Mantenimiento del control"))))</f>
        <v>Mantenimiento del control</v>
      </c>
      <c r="L64" s="357">
        <f>+IF(K64="",152,IF(K64="Deficiencia de control mayor (diseño y ejecución)",160,IF(K64="Deficiencia de control (diseño o ejecución)",180,IF(K64="Oportunidad de mejora",200,220))))</f>
        <v>220</v>
      </c>
      <c r="M64" s="493">
        <v>3.9653999999999998</v>
      </c>
      <c r="N64" s="493">
        <f>+L64+M64</f>
        <v>223.96539999999999</v>
      </c>
    </row>
    <row r="65" spans="2:14" ht="30" customHeight="1" x14ac:dyDescent="0.3">
      <c r="B65" s="336"/>
      <c r="C65" s="315"/>
      <c r="D65" s="318"/>
      <c r="E65" s="407"/>
      <c r="F65" s="345"/>
      <c r="G65" s="115">
        <v>2</v>
      </c>
      <c r="H65" s="241" t="s">
        <v>228</v>
      </c>
      <c r="I65" s="330"/>
      <c r="J65" s="345"/>
      <c r="K65" s="374"/>
      <c r="L65" s="357"/>
      <c r="M65" s="493"/>
      <c r="N65" s="493"/>
    </row>
    <row r="66" spans="2:14" ht="30" customHeight="1" thickBot="1" x14ac:dyDescent="0.35">
      <c r="B66" s="336"/>
      <c r="C66" s="315"/>
      <c r="D66" s="318"/>
      <c r="E66" s="407"/>
      <c r="F66" s="345"/>
      <c r="G66" s="115">
        <v>3</v>
      </c>
      <c r="H66" s="241" t="s">
        <v>246</v>
      </c>
      <c r="I66" s="330"/>
      <c r="J66" s="345"/>
      <c r="K66" s="374"/>
      <c r="L66" s="357"/>
      <c r="M66" s="493"/>
      <c r="N66" s="493"/>
    </row>
    <row r="67" spans="2:14" ht="36.75" customHeight="1" x14ac:dyDescent="0.3">
      <c r="B67" s="336"/>
      <c r="C67" s="315"/>
      <c r="D67" s="318"/>
      <c r="E67" s="407"/>
      <c r="F67" s="345"/>
      <c r="G67" s="115">
        <v>4</v>
      </c>
      <c r="H67" s="237" t="s">
        <v>499</v>
      </c>
      <c r="I67" s="330"/>
      <c r="J67" s="345"/>
      <c r="K67" s="374"/>
      <c r="L67" s="357"/>
      <c r="M67" s="493"/>
      <c r="N67" s="493"/>
    </row>
    <row r="68" spans="2:14" ht="30" customHeight="1" x14ac:dyDescent="0.3">
      <c r="B68" s="336"/>
      <c r="C68" s="315"/>
      <c r="D68" s="318"/>
      <c r="E68" s="407"/>
      <c r="F68" s="345"/>
      <c r="G68" s="115">
        <v>5</v>
      </c>
      <c r="H68" s="115"/>
      <c r="I68" s="330"/>
      <c r="J68" s="345"/>
      <c r="K68" s="374"/>
      <c r="L68" s="357"/>
      <c r="M68" s="493"/>
      <c r="N68" s="493"/>
    </row>
    <row r="69" spans="2:14" ht="30" customHeight="1" x14ac:dyDescent="0.3">
      <c r="B69" s="336"/>
      <c r="C69" s="315"/>
      <c r="D69" s="318"/>
      <c r="E69" s="407"/>
      <c r="F69" s="345"/>
      <c r="G69" s="115">
        <v>6</v>
      </c>
      <c r="H69" s="115"/>
      <c r="I69" s="330"/>
      <c r="J69" s="345"/>
      <c r="K69" s="374"/>
      <c r="L69" s="357"/>
      <c r="M69" s="493"/>
      <c r="N69" s="493"/>
    </row>
    <row r="70" spans="2:14" ht="30" customHeight="1" x14ac:dyDescent="0.3">
      <c r="B70" s="336"/>
      <c r="C70" s="315"/>
      <c r="D70" s="318"/>
      <c r="E70" s="407"/>
      <c r="F70" s="345"/>
      <c r="G70" s="115">
        <v>7</v>
      </c>
      <c r="H70" s="115"/>
      <c r="I70" s="330"/>
      <c r="J70" s="345"/>
      <c r="K70" s="374"/>
      <c r="L70" s="357"/>
      <c r="M70" s="493"/>
      <c r="N70" s="493"/>
    </row>
    <row r="71" spans="2:14" ht="30" customHeight="1" thickBot="1" x14ac:dyDescent="0.35">
      <c r="B71" s="337"/>
      <c r="C71" s="316"/>
      <c r="D71" s="319"/>
      <c r="E71" s="408"/>
      <c r="F71" s="346"/>
      <c r="G71" s="117">
        <v>8</v>
      </c>
      <c r="H71" s="117"/>
      <c r="I71" s="331"/>
      <c r="J71" s="346"/>
      <c r="K71" s="375"/>
      <c r="L71" s="357"/>
      <c r="M71" s="493"/>
      <c r="N71" s="493"/>
    </row>
    <row r="72" spans="2:14" ht="30" customHeight="1" x14ac:dyDescent="0.3">
      <c r="B72" s="335" t="str">
        <f>+LEFT(C72,4)</f>
        <v>11.4</v>
      </c>
      <c r="C72" s="314" t="s">
        <v>258</v>
      </c>
      <c r="D72" s="317" t="s">
        <v>259</v>
      </c>
      <c r="E72" s="550" t="s">
        <v>752</v>
      </c>
      <c r="F72" s="344">
        <v>3</v>
      </c>
      <c r="G72" s="118">
        <v>1</v>
      </c>
      <c r="H72" s="211" t="s">
        <v>515</v>
      </c>
      <c r="I72" s="329" t="s">
        <v>662</v>
      </c>
      <c r="J72" s="344">
        <v>3</v>
      </c>
      <c r="K72" s="373" t="str">
        <f>+IF(OR(ISBLANK(F72),ISBLANK(J72)),"",IF(OR(AND(F72=1,J72=1),AND(F72=1,J72=2),AND(F72=1,J72=3)),"Deficiencia de control mayor (diseño y ejecución)",IF(OR(AND(F72=2,J72=2),AND(F72=3,J72=1),AND(F72=3,J72=2),AND(F72=2,J72=1)),"Deficiencia de control (diseño o ejecución)",IF(AND(F72=2,J72=3),"Oportunidad de mejora","Mantenimiento del control"))))</f>
        <v>Mantenimiento del control</v>
      </c>
      <c r="L72" s="357">
        <f>+IF(K72="",152,IF(K72="Deficiencia de control mayor (diseño y ejecución)",160,IF(K72="Deficiencia de control (diseño o ejecución)",180,IF(K72="Oportunidad de mejora",200,220))))</f>
        <v>220</v>
      </c>
      <c r="M72" s="493">
        <v>4.0122999999999998</v>
      </c>
      <c r="N72" s="493">
        <f>+L72+M72</f>
        <v>224.01230000000001</v>
      </c>
    </row>
    <row r="73" spans="2:14" ht="30" customHeight="1" x14ac:dyDescent="0.3">
      <c r="B73" s="336"/>
      <c r="C73" s="315"/>
      <c r="D73" s="318"/>
      <c r="E73" s="551"/>
      <c r="F73" s="345"/>
      <c r="G73" s="115">
        <v>2</v>
      </c>
      <c r="H73" s="210" t="s">
        <v>663</v>
      </c>
      <c r="I73" s="330"/>
      <c r="J73" s="345"/>
      <c r="K73" s="374"/>
      <c r="L73" s="357"/>
      <c r="M73" s="493"/>
      <c r="N73" s="493"/>
    </row>
    <row r="74" spans="2:14" ht="39.75" customHeight="1" thickBot="1" x14ac:dyDescent="0.35">
      <c r="B74" s="336"/>
      <c r="C74" s="315"/>
      <c r="D74" s="318"/>
      <c r="E74" s="551"/>
      <c r="F74" s="345"/>
      <c r="G74" s="115">
        <v>3</v>
      </c>
      <c r="H74" s="238" t="s">
        <v>511</v>
      </c>
      <c r="I74" s="330"/>
      <c r="J74" s="345"/>
      <c r="K74" s="374"/>
      <c r="L74" s="357"/>
      <c r="M74" s="493"/>
      <c r="N74" s="493"/>
    </row>
    <row r="75" spans="2:14" ht="30" customHeight="1" x14ac:dyDescent="0.3">
      <c r="B75" s="336"/>
      <c r="C75" s="315"/>
      <c r="D75" s="318"/>
      <c r="E75" s="551"/>
      <c r="F75" s="345"/>
      <c r="G75" s="115">
        <v>4</v>
      </c>
      <c r="H75" s="237" t="s">
        <v>496</v>
      </c>
      <c r="I75" s="330"/>
      <c r="J75" s="345"/>
      <c r="K75" s="374"/>
      <c r="L75" s="357"/>
      <c r="M75" s="493"/>
      <c r="N75" s="493"/>
    </row>
    <row r="76" spans="2:14" ht="30" customHeight="1" x14ac:dyDescent="0.3">
      <c r="B76" s="336"/>
      <c r="C76" s="315"/>
      <c r="D76" s="318"/>
      <c r="E76" s="551"/>
      <c r="F76" s="345"/>
      <c r="G76" s="115">
        <v>5</v>
      </c>
      <c r="H76" s="238" t="s">
        <v>553</v>
      </c>
      <c r="I76" s="330"/>
      <c r="J76" s="345"/>
      <c r="K76" s="374"/>
      <c r="L76" s="357"/>
      <c r="M76" s="493"/>
      <c r="N76" s="493"/>
    </row>
    <row r="77" spans="2:14" ht="30" customHeight="1" x14ac:dyDescent="0.3">
      <c r="B77" s="336"/>
      <c r="C77" s="315"/>
      <c r="D77" s="318"/>
      <c r="E77" s="551"/>
      <c r="F77" s="345"/>
      <c r="G77" s="115">
        <v>6</v>
      </c>
      <c r="H77" s="115"/>
      <c r="I77" s="330"/>
      <c r="J77" s="345"/>
      <c r="K77" s="374"/>
      <c r="L77" s="357"/>
      <c r="M77" s="493"/>
      <c r="N77" s="493"/>
    </row>
    <row r="78" spans="2:14" ht="30" customHeight="1" x14ac:dyDescent="0.3">
      <c r="B78" s="336"/>
      <c r="C78" s="315"/>
      <c r="D78" s="318"/>
      <c r="E78" s="551"/>
      <c r="F78" s="345"/>
      <c r="G78" s="115">
        <v>7</v>
      </c>
      <c r="H78" s="115"/>
      <c r="I78" s="330"/>
      <c r="J78" s="345"/>
      <c r="K78" s="374"/>
      <c r="L78" s="357"/>
      <c r="M78" s="493"/>
      <c r="N78" s="493"/>
    </row>
    <row r="79" spans="2:14" ht="17.25" thickBot="1" x14ac:dyDescent="0.35">
      <c r="B79" s="337"/>
      <c r="C79" s="316"/>
      <c r="D79" s="319"/>
      <c r="E79" s="552"/>
      <c r="F79" s="346"/>
      <c r="G79" s="117">
        <v>8</v>
      </c>
      <c r="H79" s="117"/>
      <c r="I79" s="331"/>
      <c r="J79" s="346"/>
      <c r="K79" s="375"/>
      <c r="L79" s="357"/>
      <c r="M79" s="493"/>
      <c r="N79" s="493"/>
    </row>
    <row r="80" spans="2:14" ht="22.5" customHeight="1" x14ac:dyDescent="0.3">
      <c r="B80" s="502"/>
      <c r="C80" s="502" t="s">
        <v>260</v>
      </c>
      <c r="D80" s="544" t="s">
        <v>8</v>
      </c>
      <c r="E80" s="547" t="s">
        <v>243</v>
      </c>
      <c r="F80" s="536" t="s">
        <v>201</v>
      </c>
      <c r="G80" s="540" t="s">
        <v>115</v>
      </c>
      <c r="H80" s="541"/>
      <c r="I80" s="541"/>
      <c r="J80" s="536" t="s">
        <v>244</v>
      </c>
      <c r="K80" s="512" t="s">
        <v>143</v>
      </c>
      <c r="L80" s="491"/>
      <c r="M80" s="491"/>
      <c r="N80" s="491"/>
    </row>
    <row r="81" spans="2:14" ht="22.5" customHeight="1" x14ac:dyDescent="0.3">
      <c r="B81" s="503"/>
      <c r="C81" s="503"/>
      <c r="D81" s="545"/>
      <c r="E81" s="548"/>
      <c r="F81" s="536"/>
      <c r="G81" s="538" t="s">
        <v>13</v>
      </c>
      <c r="H81" s="542" t="s">
        <v>15</v>
      </c>
      <c r="I81" s="542" t="s">
        <v>17</v>
      </c>
      <c r="J81" s="536"/>
      <c r="K81" s="512"/>
      <c r="L81" s="491"/>
      <c r="M81" s="491"/>
      <c r="N81" s="491"/>
    </row>
    <row r="82" spans="2:14" ht="75" customHeight="1" thickBot="1" x14ac:dyDescent="0.35">
      <c r="B82" s="504"/>
      <c r="C82" s="504"/>
      <c r="D82" s="546"/>
      <c r="E82" s="549"/>
      <c r="F82" s="537"/>
      <c r="G82" s="539"/>
      <c r="H82" s="543"/>
      <c r="I82" s="543"/>
      <c r="J82" s="537"/>
      <c r="K82" s="513"/>
      <c r="L82" s="491"/>
      <c r="M82" s="491"/>
      <c r="N82" s="491"/>
    </row>
    <row r="83" spans="2:14" ht="28.5" customHeight="1" x14ac:dyDescent="0.3">
      <c r="B83" s="335" t="str">
        <f>+LEFT(C83,4)</f>
        <v>12.1</v>
      </c>
      <c r="C83" s="314" t="s">
        <v>261</v>
      </c>
      <c r="D83" s="317" t="s">
        <v>262</v>
      </c>
      <c r="E83" s="406" t="s">
        <v>664</v>
      </c>
      <c r="F83" s="344">
        <v>3</v>
      </c>
      <c r="G83" s="118">
        <v>1</v>
      </c>
      <c r="H83" s="213" t="s">
        <v>515</v>
      </c>
      <c r="I83" s="329" t="s">
        <v>263</v>
      </c>
      <c r="J83" s="344">
        <v>3</v>
      </c>
      <c r="K83" s="373" t="str">
        <f>+IF(OR(ISBLANK(F83),ISBLANK(J83)),"",IF(OR(AND(F83=1,J83=1),AND(F83=1,J83=2),AND(F83=1,J83=3)),"Deficiencia de control mayor (diseño y ejecución)",IF(OR(AND(F83=2,J83=2),AND(F83=3,J83=1),AND(F83=3,J83=2),AND(F83=2,J83=1)),"Deficiencia de control (diseño o ejecución)",IF(AND(F83=2,J83=3),"Oportunidad de mejora","Mantenimiento del control"))))</f>
        <v>Mantenimiento del control</v>
      </c>
      <c r="L83" s="357">
        <f>+IF(K83="",152,IF(K83="Deficiencia de control mayor (diseño y ejecución)",160,IF(K83="Deficiencia de control (diseño o ejecución)",180,IF(K83="Oportunidad de mejora",200,220))))</f>
        <v>220</v>
      </c>
      <c r="M83" s="493">
        <v>4.1235999999999997</v>
      </c>
      <c r="N83" s="493">
        <f>+L83+M83</f>
        <v>224.12360000000001</v>
      </c>
    </row>
    <row r="84" spans="2:14" ht="28.5" customHeight="1" x14ac:dyDescent="0.3">
      <c r="B84" s="336"/>
      <c r="C84" s="315"/>
      <c r="D84" s="318"/>
      <c r="E84" s="407"/>
      <c r="F84" s="345"/>
      <c r="G84" s="115">
        <v>2</v>
      </c>
      <c r="H84" s="209" t="s">
        <v>648</v>
      </c>
      <c r="I84" s="330"/>
      <c r="J84" s="345"/>
      <c r="K84" s="374"/>
      <c r="L84" s="357"/>
      <c r="M84" s="493"/>
      <c r="N84" s="493"/>
    </row>
    <row r="85" spans="2:14" ht="28.5" customHeight="1" x14ac:dyDescent="0.3">
      <c r="B85" s="336"/>
      <c r="C85" s="315"/>
      <c r="D85" s="318"/>
      <c r="E85" s="407"/>
      <c r="F85" s="345"/>
      <c r="G85" s="115">
        <v>3</v>
      </c>
      <c r="H85" s="166"/>
      <c r="I85" s="330"/>
      <c r="J85" s="345"/>
      <c r="K85" s="374"/>
      <c r="L85" s="357"/>
      <c r="M85" s="493"/>
      <c r="N85" s="493"/>
    </row>
    <row r="86" spans="2:14" ht="28.5" customHeight="1" x14ac:dyDescent="0.3">
      <c r="B86" s="336"/>
      <c r="C86" s="315"/>
      <c r="D86" s="318"/>
      <c r="E86" s="407"/>
      <c r="F86" s="345"/>
      <c r="G86" s="115">
        <v>4</v>
      </c>
      <c r="H86" s="115"/>
      <c r="I86" s="330"/>
      <c r="J86" s="345"/>
      <c r="K86" s="374"/>
      <c r="L86" s="357"/>
      <c r="M86" s="493"/>
      <c r="N86" s="493"/>
    </row>
    <row r="87" spans="2:14" ht="28.5" customHeight="1" x14ac:dyDescent="0.3">
      <c r="B87" s="336"/>
      <c r="C87" s="315"/>
      <c r="D87" s="318"/>
      <c r="E87" s="407"/>
      <c r="F87" s="345"/>
      <c r="G87" s="115">
        <v>5</v>
      </c>
      <c r="H87" s="115"/>
      <c r="I87" s="330"/>
      <c r="J87" s="345"/>
      <c r="K87" s="374"/>
      <c r="L87" s="357"/>
      <c r="M87" s="493"/>
      <c r="N87" s="493"/>
    </row>
    <row r="88" spans="2:14" ht="28.5" customHeight="1" x14ac:dyDescent="0.3">
      <c r="B88" s="336"/>
      <c r="C88" s="315"/>
      <c r="D88" s="318"/>
      <c r="E88" s="407"/>
      <c r="F88" s="345"/>
      <c r="G88" s="115">
        <v>6</v>
      </c>
      <c r="H88" s="115"/>
      <c r="I88" s="330"/>
      <c r="J88" s="345"/>
      <c r="K88" s="374"/>
      <c r="L88" s="357"/>
      <c r="M88" s="493"/>
      <c r="N88" s="493"/>
    </row>
    <row r="89" spans="2:14" ht="28.5" customHeight="1" x14ac:dyDescent="0.3">
      <c r="B89" s="336"/>
      <c r="C89" s="315"/>
      <c r="D89" s="318"/>
      <c r="E89" s="407"/>
      <c r="F89" s="345"/>
      <c r="G89" s="115">
        <v>7</v>
      </c>
      <c r="H89" s="115"/>
      <c r="I89" s="330"/>
      <c r="J89" s="345"/>
      <c r="K89" s="374"/>
      <c r="L89" s="357"/>
      <c r="M89" s="493"/>
      <c r="N89" s="493"/>
    </row>
    <row r="90" spans="2:14" ht="28.5" customHeight="1" thickBot="1" x14ac:dyDescent="0.35">
      <c r="B90" s="337"/>
      <c r="C90" s="316"/>
      <c r="D90" s="319"/>
      <c r="E90" s="408"/>
      <c r="F90" s="346"/>
      <c r="G90" s="117">
        <v>8</v>
      </c>
      <c r="H90" s="117"/>
      <c r="I90" s="331"/>
      <c r="J90" s="346"/>
      <c r="K90" s="375"/>
      <c r="L90" s="357"/>
      <c r="M90" s="493"/>
      <c r="N90" s="493"/>
    </row>
    <row r="91" spans="2:14" ht="30" customHeight="1" x14ac:dyDescent="0.3">
      <c r="B91" s="335" t="str">
        <f>+LEFT(C91,4)</f>
        <v>12.2</v>
      </c>
      <c r="C91" s="314" t="s">
        <v>264</v>
      </c>
      <c r="D91" s="317" t="s">
        <v>265</v>
      </c>
      <c r="E91" s="406" t="s">
        <v>665</v>
      </c>
      <c r="F91" s="344">
        <v>3</v>
      </c>
      <c r="G91" s="118">
        <v>1</v>
      </c>
      <c r="H91" s="208" t="s">
        <v>496</v>
      </c>
      <c r="I91" s="329" t="s">
        <v>666</v>
      </c>
      <c r="J91" s="344">
        <v>3</v>
      </c>
      <c r="K91" s="373" t="str">
        <f>+IF(OR(ISBLANK(F91),ISBLANK(J91)),"",IF(OR(AND(F91=1,J91=1),AND(F91=1,J91=2),AND(F91=1,J91=3)),"Deficiencia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357">
        <f>+IF(K91="",152,IF(K91="Deficiencia de control mayor (diseño y ejecución)",160,IF(K91="Deficiencia de control (diseño o ejecución)",180,IF(K91="Oportunidad de mejora",200,220))))</f>
        <v>220</v>
      </c>
      <c r="M91" s="493">
        <v>4.2365000000000004</v>
      </c>
      <c r="N91" s="559">
        <f>+L91+M91</f>
        <v>224.23650000000001</v>
      </c>
    </row>
    <row r="92" spans="2:14" ht="30" customHeight="1" x14ac:dyDescent="0.3">
      <c r="B92" s="336"/>
      <c r="C92" s="315"/>
      <c r="D92" s="318"/>
      <c r="E92" s="407"/>
      <c r="F92" s="345"/>
      <c r="G92" s="115">
        <v>2</v>
      </c>
      <c r="H92" s="238" t="s">
        <v>553</v>
      </c>
      <c r="I92" s="330"/>
      <c r="J92" s="345"/>
      <c r="K92" s="374"/>
      <c r="L92" s="357"/>
      <c r="M92" s="493"/>
      <c r="N92" s="559"/>
    </row>
    <row r="93" spans="2:14" ht="30" customHeight="1" x14ac:dyDescent="0.3">
      <c r="B93" s="336"/>
      <c r="C93" s="315"/>
      <c r="D93" s="318"/>
      <c r="E93" s="407"/>
      <c r="F93" s="345"/>
      <c r="G93" s="115">
        <v>3</v>
      </c>
      <c r="H93" s="238" t="s">
        <v>511</v>
      </c>
      <c r="I93" s="330"/>
      <c r="J93" s="345"/>
      <c r="K93" s="374"/>
      <c r="L93" s="357"/>
      <c r="M93" s="493"/>
      <c r="N93" s="559"/>
    </row>
    <row r="94" spans="2:14" ht="30" customHeight="1" x14ac:dyDescent="0.3">
      <c r="B94" s="336"/>
      <c r="C94" s="315"/>
      <c r="D94" s="318"/>
      <c r="E94" s="407"/>
      <c r="F94" s="345"/>
      <c r="G94" s="115">
        <v>4</v>
      </c>
      <c r="H94" s="238" t="s">
        <v>543</v>
      </c>
      <c r="I94" s="330"/>
      <c r="J94" s="345"/>
      <c r="K94" s="374"/>
      <c r="L94" s="357"/>
      <c r="M94" s="493"/>
      <c r="N94" s="559"/>
    </row>
    <row r="95" spans="2:14" ht="30" customHeight="1" x14ac:dyDescent="0.3">
      <c r="B95" s="336"/>
      <c r="C95" s="315"/>
      <c r="D95" s="318"/>
      <c r="E95" s="407"/>
      <c r="F95" s="345"/>
      <c r="G95" s="115">
        <v>5</v>
      </c>
      <c r="H95" s="238" t="s">
        <v>616</v>
      </c>
      <c r="I95" s="330"/>
      <c r="J95" s="345"/>
      <c r="K95" s="374"/>
      <c r="L95" s="357"/>
      <c r="M95" s="493"/>
      <c r="N95" s="559"/>
    </row>
    <row r="96" spans="2:14" ht="30" customHeight="1" x14ac:dyDescent="0.3">
      <c r="B96" s="336"/>
      <c r="C96" s="315"/>
      <c r="D96" s="318"/>
      <c r="E96" s="407"/>
      <c r="F96" s="345"/>
      <c r="G96" s="115">
        <v>6</v>
      </c>
      <c r="H96" s="238"/>
      <c r="I96" s="330"/>
      <c r="J96" s="345"/>
      <c r="K96" s="374"/>
      <c r="L96" s="357"/>
      <c r="M96" s="493"/>
      <c r="N96" s="559"/>
    </row>
    <row r="97" spans="2:14" ht="30" customHeight="1" x14ac:dyDescent="0.3">
      <c r="B97" s="336"/>
      <c r="C97" s="315"/>
      <c r="D97" s="318"/>
      <c r="E97" s="407"/>
      <c r="F97" s="345"/>
      <c r="G97" s="115">
        <v>7</v>
      </c>
      <c r="H97" s="115"/>
      <c r="I97" s="330"/>
      <c r="J97" s="345"/>
      <c r="K97" s="374"/>
      <c r="L97" s="357"/>
      <c r="M97" s="493"/>
      <c r="N97" s="559"/>
    </row>
    <row r="98" spans="2:14" ht="30" customHeight="1" thickBot="1" x14ac:dyDescent="0.35">
      <c r="B98" s="337"/>
      <c r="C98" s="316"/>
      <c r="D98" s="319"/>
      <c r="E98" s="408"/>
      <c r="F98" s="346"/>
      <c r="G98" s="117">
        <v>8</v>
      </c>
      <c r="H98" s="117"/>
      <c r="I98" s="331"/>
      <c r="J98" s="346"/>
      <c r="K98" s="375"/>
      <c r="L98" s="357"/>
      <c r="M98" s="493"/>
      <c r="N98" s="559"/>
    </row>
    <row r="99" spans="2:14" ht="30" customHeight="1" x14ac:dyDescent="0.3">
      <c r="B99" s="335" t="str">
        <f>+LEFT(C99,4)</f>
        <v>12.3</v>
      </c>
      <c r="C99" s="499" t="s">
        <v>266</v>
      </c>
      <c r="D99" s="317" t="s">
        <v>267</v>
      </c>
      <c r="E99" s="303" t="s">
        <v>667</v>
      </c>
      <c r="F99" s="344">
        <v>3</v>
      </c>
      <c r="G99" s="118">
        <v>1</v>
      </c>
      <c r="H99" s="242" t="s">
        <v>496</v>
      </c>
      <c r="I99" s="329" t="s">
        <v>672</v>
      </c>
      <c r="J99" s="344">
        <v>3</v>
      </c>
      <c r="K99" s="373" t="str">
        <f>+IF(OR(ISBLANK(F99),ISBLANK(J99)),"",IF(OR(AND(F99=1,J99=1),AND(F99=1,J99=2),AND(F99=1,J99=3)),"Deficiencia de control mayor (diseño y ejecución)",IF(OR(AND(F99=2,J99=2),AND(F99=3,J99=1),AND(F99=3,J99=2),AND(F99=2,J99=1)),"Deficiencia de control (diseño o ejecución)",IF(AND(F99=2,J99=3),"Oportunidad de mejora","Mantenimiento del control"))))</f>
        <v>Mantenimiento del control</v>
      </c>
      <c r="L99" s="357">
        <f>+IF(K99="",152,IF(K99="Deficiencia de control mayor (diseño y ejecución)",160,IF(K99="Deficiencia de control (diseño o ejecución)",180,IF(K99="Oportunidad de mejora",200,220))))</f>
        <v>220</v>
      </c>
      <c r="M99" s="493">
        <v>4.2365599999999999</v>
      </c>
      <c r="N99" s="559">
        <f>+L99+M99</f>
        <v>224.23656</v>
      </c>
    </row>
    <row r="100" spans="2:14" ht="30" customHeight="1" x14ac:dyDescent="0.3">
      <c r="B100" s="336"/>
      <c r="C100" s="500"/>
      <c r="D100" s="318"/>
      <c r="E100" s="304"/>
      <c r="F100" s="345"/>
      <c r="G100" s="115">
        <v>2</v>
      </c>
      <c r="H100" s="243" t="s">
        <v>553</v>
      </c>
      <c r="I100" s="330"/>
      <c r="J100" s="345"/>
      <c r="K100" s="374"/>
      <c r="L100" s="357"/>
      <c r="M100" s="493"/>
      <c r="N100" s="559"/>
    </row>
    <row r="101" spans="2:14" ht="30" customHeight="1" x14ac:dyDescent="0.3">
      <c r="B101" s="336"/>
      <c r="C101" s="500"/>
      <c r="D101" s="318"/>
      <c r="E101" s="304"/>
      <c r="F101" s="345"/>
      <c r="G101" s="115">
        <v>3</v>
      </c>
      <c r="H101" s="243" t="s">
        <v>511</v>
      </c>
      <c r="I101" s="330"/>
      <c r="J101" s="345"/>
      <c r="K101" s="374"/>
      <c r="L101" s="357"/>
      <c r="M101" s="493"/>
      <c r="N101" s="559"/>
    </row>
    <row r="102" spans="2:14" ht="30" customHeight="1" x14ac:dyDescent="0.3">
      <c r="B102" s="336"/>
      <c r="C102" s="500"/>
      <c r="D102" s="318"/>
      <c r="E102" s="304"/>
      <c r="F102" s="345"/>
      <c r="G102" s="115">
        <v>4</v>
      </c>
      <c r="H102" s="243" t="s">
        <v>543</v>
      </c>
      <c r="I102" s="330"/>
      <c r="J102" s="345"/>
      <c r="K102" s="374"/>
      <c r="L102" s="357"/>
      <c r="M102" s="493"/>
      <c r="N102" s="559"/>
    </row>
    <row r="103" spans="2:14" ht="30" customHeight="1" x14ac:dyDescent="0.3">
      <c r="B103" s="336"/>
      <c r="C103" s="500"/>
      <c r="D103" s="318"/>
      <c r="E103" s="304"/>
      <c r="F103" s="345"/>
      <c r="G103" s="115">
        <v>5</v>
      </c>
      <c r="H103" s="243" t="s">
        <v>616</v>
      </c>
      <c r="I103" s="330"/>
      <c r="J103" s="345"/>
      <c r="K103" s="374"/>
      <c r="L103" s="357"/>
      <c r="M103" s="493"/>
      <c r="N103" s="559"/>
    </row>
    <row r="104" spans="2:14" ht="30" customHeight="1" x14ac:dyDescent="0.3">
      <c r="B104" s="336"/>
      <c r="C104" s="500"/>
      <c r="D104" s="318"/>
      <c r="E104" s="304"/>
      <c r="F104" s="345"/>
      <c r="G104" s="115">
        <v>6</v>
      </c>
      <c r="H104" s="209" t="s">
        <v>671</v>
      </c>
      <c r="I104" s="330"/>
      <c r="J104" s="345"/>
      <c r="K104" s="374"/>
      <c r="L104" s="357"/>
      <c r="M104" s="493"/>
      <c r="N104" s="559"/>
    </row>
    <row r="105" spans="2:14" ht="30" customHeight="1" x14ac:dyDescent="0.3">
      <c r="B105" s="336"/>
      <c r="C105" s="500"/>
      <c r="D105" s="318"/>
      <c r="E105" s="304"/>
      <c r="F105" s="345"/>
      <c r="G105" s="115">
        <v>7</v>
      </c>
      <c r="H105" s="209"/>
      <c r="I105" s="330"/>
      <c r="J105" s="345"/>
      <c r="K105" s="374"/>
      <c r="L105" s="357"/>
      <c r="M105" s="493"/>
      <c r="N105" s="559"/>
    </row>
    <row r="106" spans="2:14" ht="30" customHeight="1" thickBot="1" x14ac:dyDescent="0.35">
      <c r="B106" s="337"/>
      <c r="C106" s="501"/>
      <c r="D106" s="319"/>
      <c r="E106" s="305"/>
      <c r="F106" s="346"/>
      <c r="G106" s="117">
        <v>8</v>
      </c>
      <c r="H106" s="117"/>
      <c r="I106" s="331"/>
      <c r="J106" s="346"/>
      <c r="K106" s="375"/>
      <c r="L106" s="357"/>
      <c r="M106" s="493"/>
      <c r="N106" s="559"/>
    </row>
    <row r="107" spans="2:14" ht="30" customHeight="1" x14ac:dyDescent="0.3">
      <c r="B107" s="335" t="str">
        <f>+LEFT(C107,4)</f>
        <v>12.4</v>
      </c>
      <c r="C107" s="499" t="s">
        <v>268</v>
      </c>
      <c r="D107" s="317" t="s">
        <v>269</v>
      </c>
      <c r="E107" s="303" t="s">
        <v>668</v>
      </c>
      <c r="F107" s="344">
        <v>3</v>
      </c>
      <c r="G107" s="118">
        <v>1</v>
      </c>
      <c r="H107" s="243" t="s">
        <v>511</v>
      </c>
      <c r="I107" s="329" t="s">
        <v>270</v>
      </c>
      <c r="J107" s="344">
        <v>3</v>
      </c>
      <c r="K107" s="373" t="str">
        <f>+IF(OR(ISBLANK(F107),ISBLANK(J107)),"",IF(OR(AND(F107=1,J107=1),AND(F107=1,J107=2),AND(F107=1,J107=3)),"Deficiencia de control mayor (diseño y ejecución)",IF(OR(AND(F107=2,J107=2),AND(F107=3,J107=1),AND(F107=3,J107=2),AND(F107=2,J107=1)),"Deficiencia de control (diseño o ejecución)",IF(AND(F107=2,J107=3),"Oportunidad de mejora","Mantenimiento del control"))))</f>
        <v>Mantenimiento del control</v>
      </c>
      <c r="L107" s="357">
        <f>+IF(K107="",152,IF(K107="Deficiencia de control mayor (diseño y ejecución)",160,IF(K107="Deficiencia de control (diseño o ejecución)",180,IF(K107="Oportunidad de mejora",200,220))))</f>
        <v>220</v>
      </c>
      <c r="M107" s="493">
        <v>4.2365680000000001</v>
      </c>
      <c r="N107" s="559">
        <f>+L107+M107</f>
        <v>224.23656800000001</v>
      </c>
    </row>
    <row r="108" spans="2:14" ht="30" customHeight="1" x14ac:dyDescent="0.3">
      <c r="B108" s="336"/>
      <c r="C108" s="500"/>
      <c r="D108" s="318"/>
      <c r="E108" s="304"/>
      <c r="F108" s="345"/>
      <c r="G108" s="115">
        <v>2</v>
      </c>
      <c r="H108" s="243" t="s">
        <v>543</v>
      </c>
      <c r="I108" s="330"/>
      <c r="J108" s="345"/>
      <c r="K108" s="374"/>
      <c r="L108" s="357"/>
      <c r="M108" s="493"/>
      <c r="N108" s="559"/>
    </row>
    <row r="109" spans="2:14" ht="30" customHeight="1" x14ac:dyDescent="0.3">
      <c r="B109" s="336"/>
      <c r="C109" s="500"/>
      <c r="D109" s="318"/>
      <c r="E109" s="304"/>
      <c r="F109" s="345"/>
      <c r="G109" s="115">
        <v>3</v>
      </c>
      <c r="H109" s="243" t="s">
        <v>616</v>
      </c>
      <c r="I109" s="330"/>
      <c r="J109" s="345"/>
      <c r="K109" s="374"/>
      <c r="L109" s="357"/>
      <c r="M109" s="493"/>
      <c r="N109" s="559"/>
    </row>
    <row r="110" spans="2:14" ht="30" customHeight="1" x14ac:dyDescent="0.3">
      <c r="B110" s="336"/>
      <c r="C110" s="500"/>
      <c r="D110" s="318"/>
      <c r="E110" s="304"/>
      <c r="F110" s="345"/>
      <c r="G110" s="115">
        <v>4</v>
      </c>
      <c r="H110" s="246" t="s">
        <v>669</v>
      </c>
      <c r="I110" s="330"/>
      <c r="J110" s="345"/>
      <c r="K110" s="374"/>
      <c r="L110" s="357"/>
      <c r="M110" s="493"/>
      <c r="N110" s="559"/>
    </row>
    <row r="111" spans="2:14" ht="30" customHeight="1" x14ac:dyDescent="0.3">
      <c r="B111" s="336"/>
      <c r="C111" s="500"/>
      <c r="D111" s="318"/>
      <c r="E111" s="304"/>
      <c r="F111" s="345"/>
      <c r="G111" s="115">
        <v>5</v>
      </c>
      <c r="H111" s="115"/>
      <c r="I111" s="330"/>
      <c r="J111" s="345"/>
      <c r="K111" s="374"/>
      <c r="L111" s="357"/>
      <c r="M111" s="493"/>
      <c r="N111" s="559"/>
    </row>
    <row r="112" spans="2:14" ht="30" customHeight="1" x14ac:dyDescent="0.3">
      <c r="B112" s="336"/>
      <c r="C112" s="500"/>
      <c r="D112" s="318"/>
      <c r="E112" s="304"/>
      <c r="F112" s="345"/>
      <c r="G112" s="115">
        <v>6</v>
      </c>
      <c r="H112" s="246"/>
      <c r="I112" s="330"/>
      <c r="J112" s="345"/>
      <c r="K112" s="374"/>
      <c r="L112" s="357"/>
      <c r="M112" s="493"/>
      <c r="N112" s="559"/>
    </row>
    <row r="113" spans="2:14" ht="30" customHeight="1" x14ac:dyDescent="0.3">
      <c r="B113" s="336"/>
      <c r="C113" s="500"/>
      <c r="D113" s="318"/>
      <c r="E113" s="304"/>
      <c r="F113" s="345"/>
      <c r="G113" s="115">
        <v>7</v>
      </c>
      <c r="H113" s="115"/>
      <c r="I113" s="330"/>
      <c r="J113" s="345"/>
      <c r="K113" s="374"/>
      <c r="L113" s="357"/>
      <c r="M113" s="493"/>
      <c r="N113" s="559"/>
    </row>
    <row r="114" spans="2:14" ht="30" customHeight="1" thickBot="1" x14ac:dyDescent="0.35">
      <c r="B114" s="337"/>
      <c r="C114" s="501"/>
      <c r="D114" s="319"/>
      <c r="E114" s="305"/>
      <c r="F114" s="346"/>
      <c r="G114" s="117">
        <v>8</v>
      </c>
      <c r="H114" s="117"/>
      <c r="I114" s="331"/>
      <c r="J114" s="346"/>
      <c r="K114" s="375"/>
      <c r="L114" s="357"/>
      <c r="M114" s="493"/>
      <c r="N114" s="559"/>
    </row>
    <row r="115" spans="2:14" ht="30" customHeight="1" x14ac:dyDescent="0.3">
      <c r="B115" s="335" t="str">
        <f>+LEFT(C115,4)</f>
        <v>12.5</v>
      </c>
      <c r="C115" s="314" t="s">
        <v>271</v>
      </c>
      <c r="D115" s="317" t="s">
        <v>272</v>
      </c>
      <c r="E115" s="406" t="s">
        <v>673</v>
      </c>
      <c r="F115" s="344">
        <v>3</v>
      </c>
      <c r="G115" s="118">
        <v>1</v>
      </c>
      <c r="H115" s="211" t="s">
        <v>648</v>
      </c>
      <c r="I115" s="329" t="s">
        <v>670</v>
      </c>
      <c r="J115" s="344">
        <v>3</v>
      </c>
      <c r="K115" s="373" t="str">
        <f>+IF(OR(ISBLANK(F115),ISBLANK(J115)),"",IF(OR(AND(F115=1,J115=1),AND(F115=1,J115=2),AND(F115=1,J115=3)),"Deficiencia de control mayor (diseño y ejecución)",IF(OR(AND(F115=2,J115=2),AND(F115=3,J115=1),AND(F115=3,J115=2),AND(F115=2,J115=1)),"Deficiencia de control (diseño o ejecución)",IF(AND(F115=2,J115=3),"Oportunidad de mejora","Mantenimiento del control"))))</f>
        <v>Mantenimiento del control</v>
      </c>
      <c r="L115" s="357">
        <f>+IF(K115="",152,IF(K115="Deficiencia de control mayor (diseño y ejecución)",160,IF(K115="Deficiencia de control (diseño o ejecución)",180,IF(K115="Oportunidad de mejora",200,220))))</f>
        <v>220</v>
      </c>
      <c r="M115" s="493">
        <v>4.3569000000000004</v>
      </c>
      <c r="N115" s="493">
        <f>+L115+M115</f>
        <v>224.3569</v>
      </c>
    </row>
    <row r="116" spans="2:14" ht="30" customHeight="1" x14ac:dyDescent="0.3">
      <c r="B116" s="336"/>
      <c r="C116" s="315"/>
      <c r="D116" s="318"/>
      <c r="E116" s="407"/>
      <c r="F116" s="345"/>
      <c r="G116" s="115">
        <v>2</v>
      </c>
      <c r="H116" s="209" t="s">
        <v>669</v>
      </c>
      <c r="I116" s="330"/>
      <c r="J116" s="345"/>
      <c r="K116" s="374"/>
      <c r="L116" s="357"/>
      <c r="M116" s="493"/>
      <c r="N116" s="493"/>
    </row>
    <row r="117" spans="2:14" ht="30" customHeight="1" x14ac:dyDescent="0.3">
      <c r="B117" s="336"/>
      <c r="C117" s="315"/>
      <c r="D117" s="318"/>
      <c r="E117" s="407"/>
      <c r="F117" s="345"/>
      <c r="G117" s="115">
        <v>3</v>
      </c>
      <c r="H117" s="246" t="s">
        <v>671</v>
      </c>
      <c r="I117" s="330"/>
      <c r="J117" s="345"/>
      <c r="K117" s="374"/>
      <c r="L117" s="357"/>
      <c r="M117" s="493"/>
      <c r="N117" s="493"/>
    </row>
    <row r="118" spans="2:14" ht="30" customHeight="1" x14ac:dyDescent="0.3">
      <c r="B118" s="336"/>
      <c r="C118" s="315"/>
      <c r="D118" s="318"/>
      <c r="E118" s="407"/>
      <c r="F118" s="345"/>
      <c r="G118" s="115">
        <v>4</v>
      </c>
      <c r="H118" s="243"/>
      <c r="I118" s="330"/>
      <c r="J118" s="345"/>
      <c r="K118" s="374"/>
      <c r="L118" s="357"/>
      <c r="M118" s="493"/>
      <c r="N118" s="493"/>
    </row>
    <row r="119" spans="2:14" ht="30" customHeight="1" x14ac:dyDescent="0.3">
      <c r="B119" s="336"/>
      <c r="C119" s="315"/>
      <c r="D119" s="318"/>
      <c r="E119" s="407"/>
      <c r="F119" s="345"/>
      <c r="G119" s="115">
        <v>5</v>
      </c>
      <c r="H119" s="212"/>
      <c r="I119" s="330"/>
      <c r="J119" s="345"/>
      <c r="K119" s="374"/>
      <c r="L119" s="357"/>
      <c r="M119" s="493"/>
      <c r="N119" s="493"/>
    </row>
    <row r="120" spans="2:14" ht="30" customHeight="1" x14ac:dyDescent="0.3">
      <c r="B120" s="336"/>
      <c r="C120" s="315"/>
      <c r="D120" s="318"/>
      <c r="E120" s="407"/>
      <c r="F120" s="345"/>
      <c r="G120" s="115">
        <v>6</v>
      </c>
      <c r="H120" s="115"/>
      <c r="I120" s="330"/>
      <c r="J120" s="345"/>
      <c r="K120" s="374"/>
      <c r="L120" s="357"/>
      <c r="M120" s="493"/>
      <c r="N120" s="493"/>
    </row>
    <row r="121" spans="2:14" ht="30" customHeight="1" x14ac:dyDescent="0.3">
      <c r="B121" s="336"/>
      <c r="C121" s="315"/>
      <c r="D121" s="318"/>
      <c r="E121" s="407"/>
      <c r="F121" s="345"/>
      <c r="G121" s="115">
        <v>7</v>
      </c>
      <c r="H121" s="115"/>
      <c r="I121" s="330"/>
      <c r="J121" s="345"/>
      <c r="K121" s="374"/>
      <c r="L121" s="357"/>
      <c r="M121" s="493"/>
      <c r="N121" s="493"/>
    </row>
    <row r="122" spans="2:14" ht="30" customHeight="1" thickBot="1" x14ac:dyDescent="0.35">
      <c r="B122" s="337"/>
      <c r="C122" s="316"/>
      <c r="D122" s="319"/>
      <c r="E122" s="408"/>
      <c r="F122" s="346"/>
      <c r="G122" s="117">
        <v>8</v>
      </c>
      <c r="H122" s="117"/>
      <c r="I122" s="331"/>
      <c r="J122" s="346"/>
      <c r="K122" s="375"/>
      <c r="L122" s="357"/>
      <c r="M122" s="493"/>
      <c r="N122" s="493"/>
    </row>
    <row r="123" spans="2:14" ht="22.5" customHeight="1" x14ac:dyDescent="0.3">
      <c r="D123" s="96"/>
    </row>
    <row r="124" spans="2:14" ht="22.5" customHeight="1" x14ac:dyDescent="0.3">
      <c r="D124" s="96"/>
    </row>
    <row r="125" spans="2:14" ht="22.5" customHeight="1" x14ac:dyDescent="0.3">
      <c r="D125" s="96"/>
    </row>
    <row r="126" spans="2:14" ht="22.5" customHeight="1" x14ac:dyDescent="0.3">
      <c r="D126" s="96"/>
    </row>
    <row r="127" spans="2:14" ht="22.5" customHeight="1" x14ac:dyDescent="0.3">
      <c r="D127" s="96"/>
    </row>
    <row r="128" spans="2:14" ht="22.5" customHeight="1" x14ac:dyDescent="0.3">
      <c r="D128" s="96"/>
    </row>
    <row r="129" spans="4:4" ht="22.5" customHeight="1" x14ac:dyDescent="0.3">
      <c r="D129" s="96"/>
    </row>
    <row r="130" spans="4:4" ht="22.5" customHeight="1" x14ac:dyDescent="0.3">
      <c r="D130" s="96"/>
    </row>
    <row r="131" spans="4:4" ht="22.5" customHeight="1" x14ac:dyDescent="0.3">
      <c r="D131" s="96"/>
    </row>
    <row r="132" spans="4:4" ht="22.5" customHeight="1" x14ac:dyDescent="0.3">
      <c r="D132" s="96"/>
    </row>
    <row r="133" spans="4:4" ht="22.5" customHeight="1" x14ac:dyDescent="0.3">
      <c r="D133" s="96"/>
    </row>
    <row r="134" spans="4:4" ht="22.5" customHeight="1" x14ac:dyDescent="0.3">
      <c r="D134" s="96"/>
    </row>
    <row r="135" spans="4:4" ht="22.5" customHeight="1" x14ac:dyDescent="0.3">
      <c r="D135" s="96"/>
    </row>
    <row r="136" spans="4:4" ht="22.5" customHeight="1" x14ac:dyDescent="0.3">
      <c r="D136" s="96"/>
    </row>
    <row r="137" spans="4:4" ht="22.5" customHeight="1" x14ac:dyDescent="0.3">
      <c r="D137" s="96"/>
    </row>
    <row r="138" spans="4:4" ht="22.5" customHeight="1" x14ac:dyDescent="0.3">
      <c r="D138" s="96"/>
    </row>
    <row r="139" spans="4:4" ht="22.5" customHeight="1" x14ac:dyDescent="0.3">
      <c r="D139" s="96"/>
    </row>
    <row r="140" spans="4:4" ht="22.5" customHeight="1" x14ac:dyDescent="0.3">
      <c r="D140" s="96"/>
    </row>
    <row r="141" spans="4:4" ht="22.5" customHeight="1" x14ac:dyDescent="0.3">
      <c r="D141" s="96"/>
    </row>
    <row r="142" spans="4:4" ht="22.5" customHeight="1" x14ac:dyDescent="0.3">
      <c r="D142" s="96"/>
    </row>
    <row r="143" spans="4:4" ht="22.5" customHeight="1" x14ac:dyDescent="0.3">
      <c r="D143" s="96"/>
    </row>
    <row r="144" spans="4:4" ht="22.5" customHeight="1" x14ac:dyDescent="0.3">
      <c r="D144" s="96"/>
    </row>
    <row r="145" spans="4:4" ht="22.5" customHeight="1" x14ac:dyDescent="0.3">
      <c r="D145" s="96"/>
    </row>
    <row r="146" spans="4:4" ht="22.5" customHeight="1" x14ac:dyDescent="0.3">
      <c r="D146" s="96"/>
    </row>
    <row r="147" spans="4:4" ht="22.5" customHeight="1" x14ac:dyDescent="0.3">
      <c r="D147" s="96"/>
    </row>
    <row r="148" spans="4:4" ht="22.5" customHeight="1" x14ac:dyDescent="0.3">
      <c r="D148" s="96"/>
    </row>
    <row r="149" spans="4:4" ht="22.5" customHeight="1" x14ac:dyDescent="0.3">
      <c r="D149" s="96"/>
    </row>
    <row r="150" spans="4:4" ht="22.5" customHeight="1" x14ac:dyDescent="0.3">
      <c r="D150" s="96"/>
    </row>
    <row r="151" spans="4:4" ht="22.5" customHeight="1" x14ac:dyDescent="0.3">
      <c r="D151" s="96"/>
    </row>
    <row r="152" spans="4:4" ht="22.5" customHeight="1" x14ac:dyDescent="0.3">
      <c r="D152" s="96"/>
    </row>
    <row r="153" spans="4:4" ht="22.5" customHeight="1" x14ac:dyDescent="0.3">
      <c r="D153" s="96"/>
    </row>
    <row r="154" spans="4:4" ht="22.5" customHeight="1" x14ac:dyDescent="0.3">
      <c r="D154" s="96"/>
    </row>
    <row r="155" spans="4:4" ht="22.5" customHeight="1" x14ac:dyDescent="0.3">
      <c r="D155" s="96"/>
    </row>
    <row r="156" spans="4:4" ht="22.5" customHeight="1" x14ac:dyDescent="0.3">
      <c r="D156" s="96"/>
    </row>
    <row r="157" spans="4:4" ht="22.5" customHeight="1" x14ac:dyDescent="0.3">
      <c r="D157" s="96"/>
    </row>
    <row r="158" spans="4:4" ht="22.5" customHeight="1" x14ac:dyDescent="0.3">
      <c r="D158" s="96"/>
    </row>
    <row r="159" spans="4:4" ht="22.5" customHeight="1" x14ac:dyDescent="0.3">
      <c r="D159" s="96"/>
    </row>
    <row r="160" spans="4:4" ht="22.5" customHeight="1" x14ac:dyDescent="0.3">
      <c r="D160" s="96"/>
    </row>
    <row r="161" spans="4:4" ht="22.5" customHeight="1" x14ac:dyDescent="0.3">
      <c r="D161" s="96"/>
    </row>
    <row r="162" spans="4:4" ht="22.5" customHeight="1" x14ac:dyDescent="0.3">
      <c r="D162" s="96"/>
    </row>
    <row r="163" spans="4:4" ht="22.5" customHeight="1" x14ac:dyDescent="0.3">
      <c r="D163" s="96"/>
    </row>
    <row r="164" spans="4:4" ht="22.5" customHeight="1" x14ac:dyDescent="0.3">
      <c r="D164" s="96"/>
    </row>
    <row r="165" spans="4:4" ht="22.5" customHeight="1" x14ac:dyDescent="0.3">
      <c r="D165" s="96"/>
    </row>
    <row r="166" spans="4:4" ht="22.5" customHeight="1" x14ac:dyDescent="0.3">
      <c r="D166" s="96"/>
    </row>
    <row r="167" spans="4:4" ht="22.5" customHeight="1" x14ac:dyDescent="0.3">
      <c r="D167" s="96"/>
    </row>
    <row r="168" spans="4:4" ht="22.5" customHeight="1" x14ac:dyDescent="0.3">
      <c r="D168" s="96"/>
    </row>
    <row r="169" spans="4:4" ht="22.5" customHeight="1" x14ac:dyDescent="0.3">
      <c r="D169" s="96"/>
    </row>
    <row r="170" spans="4:4" ht="22.5" customHeight="1" x14ac:dyDescent="0.3">
      <c r="D170" s="96"/>
    </row>
    <row r="171" spans="4:4" ht="22.5" customHeight="1" x14ac:dyDescent="0.3">
      <c r="D171" s="96"/>
    </row>
    <row r="172" spans="4:4" ht="22.5" customHeight="1" x14ac:dyDescent="0.3">
      <c r="D172" s="96"/>
    </row>
    <row r="173" spans="4:4" ht="22.5" customHeight="1" x14ac:dyDescent="0.3">
      <c r="D173" s="96"/>
    </row>
    <row r="174" spans="4:4" ht="22.5" customHeight="1" x14ac:dyDescent="0.3">
      <c r="D174" s="96"/>
    </row>
    <row r="175" spans="4:4" ht="22.5" customHeight="1" x14ac:dyDescent="0.3">
      <c r="D175" s="96"/>
    </row>
    <row r="176" spans="4:4" ht="22.5" customHeight="1" x14ac:dyDescent="0.3">
      <c r="D176" s="96"/>
    </row>
    <row r="177" spans="4:4" ht="22.5" customHeight="1" x14ac:dyDescent="0.3">
      <c r="D177" s="96"/>
    </row>
    <row r="178" spans="4:4" ht="22.5" customHeight="1" x14ac:dyDescent="0.3">
      <c r="D178" s="96"/>
    </row>
    <row r="179" spans="4:4" ht="22.5" customHeight="1" x14ac:dyDescent="0.3">
      <c r="D179" s="96"/>
    </row>
    <row r="180" spans="4:4" ht="22.5" customHeight="1" x14ac:dyDescent="0.3">
      <c r="D180" s="96"/>
    </row>
    <row r="181" spans="4:4" ht="22.5" customHeight="1" x14ac:dyDescent="0.3">
      <c r="D181" s="96"/>
    </row>
    <row r="182" spans="4:4" ht="22.5" customHeight="1" x14ac:dyDescent="0.3">
      <c r="D182" s="96"/>
    </row>
    <row r="183" spans="4:4" ht="22.5" customHeight="1" x14ac:dyDescent="0.3">
      <c r="D183" s="96"/>
    </row>
    <row r="184" spans="4:4" ht="22.5" customHeight="1" x14ac:dyDescent="0.3">
      <c r="D184" s="96"/>
    </row>
    <row r="185" spans="4:4" ht="22.5" customHeight="1" x14ac:dyDescent="0.3">
      <c r="D185" s="96"/>
    </row>
    <row r="186" spans="4:4" ht="22.5" customHeight="1" x14ac:dyDescent="0.3">
      <c r="D186" s="96"/>
    </row>
    <row r="187" spans="4:4" ht="22.5" customHeight="1" x14ac:dyDescent="0.3">
      <c r="D187" s="96"/>
    </row>
    <row r="188" spans="4:4" ht="22.5" customHeight="1" x14ac:dyDescent="0.3">
      <c r="D188" s="96"/>
    </row>
    <row r="189" spans="4:4" ht="22.5" customHeight="1" x14ac:dyDescent="0.3">
      <c r="D189" s="96"/>
    </row>
    <row r="190" spans="4:4" ht="22.5" customHeight="1" x14ac:dyDescent="0.3">
      <c r="D190" s="96"/>
    </row>
    <row r="191" spans="4:4" ht="22.5" customHeight="1" x14ac:dyDescent="0.3">
      <c r="D191" s="96"/>
    </row>
    <row r="192" spans="4:4" ht="22.5" customHeight="1" x14ac:dyDescent="0.3">
      <c r="D192" s="96"/>
    </row>
    <row r="193" spans="4:4" ht="22.5" customHeight="1" x14ac:dyDescent="0.3">
      <c r="D193" s="96"/>
    </row>
    <row r="194" spans="4:4" ht="22.5" customHeight="1" x14ac:dyDescent="0.3">
      <c r="D194" s="96"/>
    </row>
    <row r="195" spans="4:4" ht="22.5" customHeight="1" x14ac:dyDescent="0.3">
      <c r="D195" s="96"/>
    </row>
    <row r="196" spans="4:4" ht="22.5" customHeight="1" x14ac:dyDescent="0.3">
      <c r="D196" s="96"/>
    </row>
    <row r="197" spans="4:4" ht="22.5" customHeight="1" x14ac:dyDescent="0.3">
      <c r="D197" s="96"/>
    </row>
    <row r="198" spans="4:4" ht="22.5" customHeight="1" x14ac:dyDescent="0.3">
      <c r="D198" s="96"/>
    </row>
  </sheetData>
  <sheetProtection password="D72A" sheet="1" objects="1" scenarios="1" formatCells="0" formatColumns="0" formatRows="0"/>
  <autoFilter ref="C1:C122"/>
  <mergeCells count="176">
    <mergeCell ref="I115:I122"/>
    <mergeCell ref="K83:K90"/>
    <mergeCell ref="K91:K98"/>
    <mergeCell ref="K115:K122"/>
    <mergeCell ref="I29:I36"/>
    <mergeCell ref="I37:I44"/>
    <mergeCell ref="I48:I55"/>
    <mergeCell ref="I56:I63"/>
    <mergeCell ref="I64:I71"/>
    <mergeCell ref="I72:I79"/>
    <mergeCell ref="L107:L114"/>
    <mergeCell ref="M99:M106"/>
    <mergeCell ref="M107:M114"/>
    <mergeCell ref="I83:I90"/>
    <mergeCell ref="I91:I98"/>
    <mergeCell ref="N80:N82"/>
    <mergeCell ref="N83:N90"/>
    <mergeCell ref="N91:N98"/>
    <mergeCell ref="L80:L82"/>
    <mergeCell ref="L83:L90"/>
    <mergeCell ref="L91:L98"/>
    <mergeCell ref="N115:N122"/>
    <mergeCell ref="N18:N20"/>
    <mergeCell ref="N21:N28"/>
    <mergeCell ref="N29:N36"/>
    <mergeCell ref="N37:N44"/>
    <mergeCell ref="N45:N47"/>
    <mergeCell ref="N48:N55"/>
    <mergeCell ref="N56:N63"/>
    <mergeCell ref="N64:N71"/>
    <mergeCell ref="N72:N79"/>
    <mergeCell ref="N99:N106"/>
    <mergeCell ref="N107:N114"/>
    <mergeCell ref="L115:L122"/>
    <mergeCell ref="M18:M20"/>
    <mergeCell ref="M21:M28"/>
    <mergeCell ref="M29:M36"/>
    <mergeCell ref="M37:M44"/>
    <mergeCell ref="M45:M47"/>
    <mergeCell ref="M48:M55"/>
    <mergeCell ref="M56:M63"/>
    <mergeCell ref="M64:M71"/>
    <mergeCell ref="M72:M79"/>
    <mergeCell ref="M80:M82"/>
    <mergeCell ref="M83:M90"/>
    <mergeCell ref="M91:M98"/>
    <mergeCell ref="M115:M122"/>
    <mergeCell ref="L18:L20"/>
    <mergeCell ref="L21:L28"/>
    <mergeCell ref="L29:L36"/>
    <mergeCell ref="L37:L44"/>
    <mergeCell ref="L45:L47"/>
    <mergeCell ref="L48:L55"/>
    <mergeCell ref="L56:L63"/>
    <mergeCell ref="L64:L71"/>
    <mergeCell ref="L72:L79"/>
    <mergeCell ref="L99:L106"/>
    <mergeCell ref="C29:C36"/>
    <mergeCell ref="D29:D36"/>
    <mergeCell ref="E29:E36"/>
    <mergeCell ref="F29:F36"/>
    <mergeCell ref="J29:J36"/>
    <mergeCell ref="J48:J55"/>
    <mergeCell ref="C45:C47"/>
    <mergeCell ref="D45:D47"/>
    <mergeCell ref="E45:E47"/>
    <mergeCell ref="F45:F47"/>
    <mergeCell ref="G45:I45"/>
    <mergeCell ref="J45:J47"/>
    <mergeCell ref="G46:G47"/>
    <mergeCell ref="I46:I47"/>
    <mergeCell ref="C48:C55"/>
    <mergeCell ref="D48:D55"/>
    <mergeCell ref="E48:E55"/>
    <mergeCell ref="F48:F55"/>
    <mergeCell ref="C56:C63"/>
    <mergeCell ref="E56:E63"/>
    <mergeCell ref="D56:D63"/>
    <mergeCell ref="C64:C71"/>
    <mergeCell ref="D64:D71"/>
    <mergeCell ref="E64:E71"/>
    <mergeCell ref="C37:C44"/>
    <mergeCell ref="D37:D44"/>
    <mergeCell ref="E37:E44"/>
    <mergeCell ref="C115:C122"/>
    <mergeCell ref="D115:D122"/>
    <mergeCell ref="D80:D82"/>
    <mergeCell ref="C91:C98"/>
    <mergeCell ref="E91:E98"/>
    <mergeCell ref="C80:C82"/>
    <mergeCell ref="C83:C90"/>
    <mergeCell ref="E83:E90"/>
    <mergeCell ref="D72:D79"/>
    <mergeCell ref="D83:D90"/>
    <mergeCell ref="D91:D98"/>
    <mergeCell ref="E115:E122"/>
    <mergeCell ref="E80:E82"/>
    <mergeCell ref="C72:C79"/>
    <mergeCell ref="E72:E79"/>
    <mergeCell ref="C99:C106"/>
    <mergeCell ref="D99:D106"/>
    <mergeCell ref="E99:E106"/>
    <mergeCell ref="E18:E20"/>
    <mergeCell ref="J56:J63"/>
    <mergeCell ref="J115:J122"/>
    <mergeCell ref="F72:F79"/>
    <mergeCell ref="J72:J79"/>
    <mergeCell ref="J80:J82"/>
    <mergeCell ref="J83:J90"/>
    <mergeCell ref="J91:J98"/>
    <mergeCell ref="J64:J71"/>
    <mergeCell ref="F56:F63"/>
    <mergeCell ref="G81:G82"/>
    <mergeCell ref="G80:I80"/>
    <mergeCell ref="I81:I82"/>
    <mergeCell ref="F91:F98"/>
    <mergeCell ref="F80:F82"/>
    <mergeCell ref="F83:F90"/>
    <mergeCell ref="F115:F122"/>
    <mergeCell ref="F64:F71"/>
    <mergeCell ref="F37:F44"/>
    <mergeCell ref="J37:J44"/>
    <mergeCell ref="H19:H20"/>
    <mergeCell ref="H46:H47"/>
    <mergeCell ref="H81:H82"/>
    <mergeCell ref="I21:I28"/>
    <mergeCell ref="C15:K15"/>
    <mergeCell ref="C16:K16"/>
    <mergeCell ref="K48:K55"/>
    <mergeCell ref="K56:K63"/>
    <mergeCell ref="K64:K71"/>
    <mergeCell ref="K72:K79"/>
    <mergeCell ref="K80:K82"/>
    <mergeCell ref="K18:K20"/>
    <mergeCell ref="K21:K28"/>
    <mergeCell ref="K29:K36"/>
    <mergeCell ref="K37:K44"/>
    <mergeCell ref="K45:K47"/>
    <mergeCell ref="C21:C28"/>
    <mergeCell ref="E21:E28"/>
    <mergeCell ref="F21:F28"/>
    <mergeCell ref="G19:G20"/>
    <mergeCell ref="D21:D28"/>
    <mergeCell ref="J18:J20"/>
    <mergeCell ref="J21:J28"/>
    <mergeCell ref="C18:C20"/>
    <mergeCell ref="F18:F20"/>
    <mergeCell ref="D18:D20"/>
    <mergeCell ref="I19:I20"/>
    <mergeCell ref="G18:I18"/>
    <mergeCell ref="B83:B90"/>
    <mergeCell ref="B91:B98"/>
    <mergeCell ref="B115:B122"/>
    <mergeCell ref="B48:B55"/>
    <mergeCell ref="B56:B63"/>
    <mergeCell ref="B64:B71"/>
    <mergeCell ref="B72:B79"/>
    <mergeCell ref="B80:B82"/>
    <mergeCell ref="B18:B20"/>
    <mergeCell ref="B21:B28"/>
    <mergeCell ref="B29:B36"/>
    <mergeCell ref="B37:B44"/>
    <mergeCell ref="B45:B47"/>
    <mergeCell ref="B99:B106"/>
    <mergeCell ref="B107:B114"/>
    <mergeCell ref="F99:F106"/>
    <mergeCell ref="K99:K106"/>
    <mergeCell ref="C107:C114"/>
    <mergeCell ref="D107:D114"/>
    <mergeCell ref="E107:E114"/>
    <mergeCell ref="F107:F114"/>
    <mergeCell ref="I99:I106"/>
    <mergeCell ref="I107:I114"/>
    <mergeCell ref="J107:J114"/>
    <mergeCell ref="K107:K114"/>
    <mergeCell ref="J99:J106"/>
  </mergeCells>
  <dataValidations count="1">
    <dataValidation type="list" allowBlank="1" showInputMessage="1" showErrorMessage="1" sqref="J48:J79 J21:J44 F48:F79 F83:F122 F21:F44 J83:J122">
      <formula1>"1,2,3"</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N138"/>
  <sheetViews>
    <sheetView showGridLines="0" topLeftCell="A101" zoomScale="90" zoomScaleNormal="90" workbookViewId="0">
      <selection activeCell="I107" sqref="I107:I114"/>
    </sheetView>
  </sheetViews>
  <sheetFormatPr baseColWidth="10" defaultColWidth="9.140625" defaultRowHeight="32.25" customHeight="1" x14ac:dyDescent="0.3"/>
  <cols>
    <col min="1" max="1" width="2.5703125" style="12" customWidth="1"/>
    <col min="2" max="2" width="4.42578125" style="12" hidden="1" customWidth="1"/>
    <col min="3" max="4" width="37.85546875" style="12" customWidth="1"/>
    <col min="5" max="5" width="58.5703125" style="12" customWidth="1"/>
    <col min="6" max="6" width="7.42578125" style="12" customWidth="1"/>
    <col min="7" max="7" width="3.5703125" style="12" bestFit="1" customWidth="1"/>
    <col min="8" max="8" width="36.28515625" style="12" customWidth="1"/>
    <col min="9" max="9" width="58.5703125" style="12" customWidth="1"/>
    <col min="10" max="10" width="7.42578125" style="12" customWidth="1"/>
    <col min="11" max="11" width="17.42578125" style="12" customWidth="1"/>
    <col min="12" max="14" width="9.140625" style="84"/>
    <col min="15" max="16384" width="9.140625" style="12"/>
  </cols>
  <sheetData>
    <row r="1" spans="2:14" ht="16.5" x14ac:dyDescent="0.3"/>
    <row r="2" spans="2:14" ht="16.5" x14ac:dyDescent="0.3"/>
    <row r="3" spans="2:14" ht="16.5" x14ac:dyDescent="0.3"/>
    <row r="4" spans="2:14" ht="16.5" x14ac:dyDescent="0.3"/>
    <row r="5" spans="2:14" ht="16.5" x14ac:dyDescent="0.3"/>
    <row r="6" spans="2:14" ht="16.5" x14ac:dyDescent="0.3"/>
    <row r="7" spans="2:14" ht="16.5" x14ac:dyDescent="0.3"/>
    <row r="9" spans="2:14" ht="16.5" x14ac:dyDescent="0.3"/>
    <row r="11" spans="2:14" ht="16.5" x14ac:dyDescent="0.3">
      <c r="C11" s="17"/>
      <c r="D11" s="17"/>
      <c r="E11" s="17"/>
      <c r="F11" s="17"/>
      <c r="G11" s="17"/>
      <c r="H11" s="17"/>
      <c r="I11" s="17"/>
    </row>
    <row r="12" spans="2:14" ht="26.25" customHeight="1" x14ac:dyDescent="0.3">
      <c r="C12" s="567" t="s">
        <v>273</v>
      </c>
      <c r="D12" s="567"/>
      <c r="E12" s="567"/>
      <c r="F12" s="567"/>
      <c r="G12" s="567"/>
      <c r="H12" s="567"/>
      <c r="I12" s="567"/>
      <c r="J12" s="567"/>
      <c r="K12" s="567"/>
    </row>
    <row r="13" spans="2:14" ht="66.75" customHeight="1" x14ac:dyDescent="0.3">
      <c r="C13" s="422" t="s">
        <v>274</v>
      </c>
      <c r="D13" s="422"/>
      <c r="E13" s="422"/>
      <c r="F13" s="422"/>
      <c r="G13" s="422"/>
      <c r="H13" s="422"/>
      <c r="I13" s="422"/>
      <c r="J13" s="422"/>
      <c r="K13" s="422"/>
    </row>
    <row r="14" spans="2:14" ht="16.5" x14ac:dyDescent="0.3"/>
    <row r="15" spans="2:14" ht="12.75" customHeight="1" x14ac:dyDescent="0.3">
      <c r="B15" s="560" t="s">
        <v>110</v>
      </c>
      <c r="C15" s="560" t="s">
        <v>275</v>
      </c>
      <c r="D15" s="573" t="s">
        <v>8</v>
      </c>
      <c r="E15" s="591" t="s">
        <v>113</v>
      </c>
      <c r="F15" s="578" t="s">
        <v>201</v>
      </c>
      <c r="G15" s="571" t="s">
        <v>115</v>
      </c>
      <c r="H15" s="571"/>
      <c r="I15" s="571"/>
      <c r="J15" s="578" t="s">
        <v>202</v>
      </c>
      <c r="K15" s="565" t="s">
        <v>143</v>
      </c>
      <c r="L15" s="492"/>
      <c r="M15" s="492"/>
      <c r="N15" s="492"/>
    </row>
    <row r="16" spans="2:14" ht="15" customHeight="1" x14ac:dyDescent="0.3">
      <c r="B16" s="561"/>
      <c r="C16" s="561"/>
      <c r="D16" s="573"/>
      <c r="E16" s="592"/>
      <c r="F16" s="578"/>
      <c r="G16" s="571"/>
      <c r="H16" s="571"/>
      <c r="I16" s="571"/>
      <c r="J16" s="578"/>
      <c r="K16" s="565"/>
      <c r="L16" s="492"/>
      <c r="M16" s="492"/>
      <c r="N16" s="492"/>
    </row>
    <row r="17" spans="2:14" ht="27.75" customHeight="1" x14ac:dyDescent="0.3">
      <c r="B17" s="561"/>
      <c r="C17" s="561"/>
      <c r="D17" s="573"/>
      <c r="E17" s="592"/>
      <c r="F17" s="578"/>
      <c r="G17" s="571" t="s">
        <v>13</v>
      </c>
      <c r="H17" s="573" t="s">
        <v>15</v>
      </c>
      <c r="I17" s="573" t="s">
        <v>17</v>
      </c>
      <c r="J17" s="578"/>
      <c r="K17" s="565"/>
      <c r="L17" s="492"/>
      <c r="M17" s="492"/>
      <c r="N17" s="492"/>
    </row>
    <row r="18" spans="2:14" ht="72" customHeight="1" thickBot="1" x14ac:dyDescent="0.35">
      <c r="B18" s="561"/>
      <c r="C18" s="561"/>
      <c r="D18" s="573"/>
      <c r="E18" s="593"/>
      <c r="F18" s="578"/>
      <c r="G18" s="571"/>
      <c r="H18" s="571"/>
      <c r="I18" s="571"/>
      <c r="J18" s="578"/>
      <c r="K18" s="566"/>
      <c r="L18" s="492"/>
      <c r="M18" s="492"/>
      <c r="N18" s="492"/>
    </row>
    <row r="19" spans="2:14" ht="30" customHeight="1" x14ac:dyDescent="0.3">
      <c r="B19" s="335" t="str">
        <f>+LEFT(C19,4)</f>
        <v>13.1</v>
      </c>
      <c r="C19" s="572" t="s">
        <v>276</v>
      </c>
      <c r="D19" s="317" t="s">
        <v>277</v>
      </c>
      <c r="E19" s="406" t="s">
        <v>674</v>
      </c>
      <c r="F19" s="320">
        <v>3</v>
      </c>
      <c r="G19" s="118">
        <v>1</v>
      </c>
      <c r="H19" s="242" t="s">
        <v>516</v>
      </c>
      <c r="I19" s="329" t="s">
        <v>675</v>
      </c>
      <c r="J19" s="344">
        <v>3</v>
      </c>
      <c r="K19" s="373" t="str">
        <f>+IF(OR(ISBLANK(F19),ISBLANK(J19)),"",IF(OR(AND(F19=1,J19=1),AND(F19=1,J19=2),AND(F19=1,J19=3)),"Deficiencia de control mayor (diseño y ejecución)",IF(OR(AND(F19=2,J19=2),AND(F19=3,J19=1),AND(F19=3,J19=2),AND(F19=2,J19=1)),"Deficiencia de control (diseño o ejecución)",IF(AND(F19=2,J19=3),"Oportunidad de mejora","Mantenimiento del control"))))</f>
        <v>Mantenimiento del control</v>
      </c>
      <c r="L19" s="357">
        <f>+IF(K19="",231,IF(K19="Deficiencia de control mayor (diseño y ejecución)",240,IF(K19="Deficiencia de control (diseño o ejecución)",260,IF(K19="Oportunidad de mejora",280,300))))</f>
        <v>300</v>
      </c>
      <c r="M19" s="493">
        <v>4.4569000000000001</v>
      </c>
      <c r="N19" s="493">
        <f>+L19+M19</f>
        <v>304.45690000000002</v>
      </c>
    </row>
    <row r="20" spans="2:14" ht="30" customHeight="1" x14ac:dyDescent="0.3">
      <c r="B20" s="336"/>
      <c r="C20" s="569"/>
      <c r="D20" s="318"/>
      <c r="E20" s="407"/>
      <c r="F20" s="321"/>
      <c r="G20" s="115">
        <v>2</v>
      </c>
      <c r="H20" s="115"/>
      <c r="I20" s="330"/>
      <c r="J20" s="345"/>
      <c r="K20" s="374"/>
      <c r="L20" s="357"/>
      <c r="M20" s="493"/>
      <c r="N20" s="493"/>
    </row>
    <row r="21" spans="2:14" ht="30" customHeight="1" x14ac:dyDescent="0.3">
      <c r="B21" s="336"/>
      <c r="C21" s="569"/>
      <c r="D21" s="318"/>
      <c r="E21" s="407"/>
      <c r="F21" s="321"/>
      <c r="G21" s="115">
        <v>3</v>
      </c>
      <c r="H21" s="115"/>
      <c r="I21" s="330"/>
      <c r="J21" s="345"/>
      <c r="K21" s="374"/>
      <c r="L21" s="357"/>
      <c r="M21" s="493"/>
      <c r="N21" s="493"/>
    </row>
    <row r="22" spans="2:14" ht="30" customHeight="1" x14ac:dyDescent="0.3">
      <c r="B22" s="336"/>
      <c r="C22" s="569"/>
      <c r="D22" s="318"/>
      <c r="E22" s="407"/>
      <c r="F22" s="321"/>
      <c r="G22" s="115">
        <v>4</v>
      </c>
      <c r="H22" s="115"/>
      <c r="I22" s="330"/>
      <c r="J22" s="345"/>
      <c r="K22" s="374"/>
      <c r="L22" s="357"/>
      <c r="M22" s="493"/>
      <c r="N22" s="493"/>
    </row>
    <row r="23" spans="2:14" ht="30" customHeight="1" x14ac:dyDescent="0.3">
      <c r="B23" s="336"/>
      <c r="C23" s="569"/>
      <c r="D23" s="318"/>
      <c r="E23" s="407"/>
      <c r="F23" s="321"/>
      <c r="G23" s="115">
        <v>5</v>
      </c>
      <c r="H23" s="115"/>
      <c r="I23" s="330"/>
      <c r="J23" s="345"/>
      <c r="K23" s="374"/>
      <c r="L23" s="357"/>
      <c r="M23" s="493"/>
      <c r="N23" s="493"/>
    </row>
    <row r="24" spans="2:14" ht="30" customHeight="1" x14ac:dyDescent="0.3">
      <c r="B24" s="336"/>
      <c r="C24" s="569"/>
      <c r="D24" s="318"/>
      <c r="E24" s="407"/>
      <c r="F24" s="321"/>
      <c r="G24" s="115">
        <v>6</v>
      </c>
      <c r="H24" s="115"/>
      <c r="I24" s="330"/>
      <c r="J24" s="345"/>
      <c r="K24" s="374"/>
      <c r="L24" s="357"/>
      <c r="M24" s="493"/>
      <c r="N24" s="493"/>
    </row>
    <row r="25" spans="2:14" ht="30" customHeight="1" x14ac:dyDescent="0.3">
      <c r="B25" s="336"/>
      <c r="C25" s="569"/>
      <c r="D25" s="318"/>
      <c r="E25" s="407"/>
      <c r="F25" s="321"/>
      <c r="G25" s="115">
        <v>7</v>
      </c>
      <c r="H25" s="115"/>
      <c r="I25" s="330"/>
      <c r="J25" s="345"/>
      <c r="K25" s="374"/>
      <c r="L25" s="357"/>
      <c r="M25" s="493"/>
      <c r="N25" s="493"/>
    </row>
    <row r="26" spans="2:14" ht="30" customHeight="1" thickBot="1" x14ac:dyDescent="0.35">
      <c r="B26" s="337"/>
      <c r="C26" s="570"/>
      <c r="D26" s="319"/>
      <c r="E26" s="408"/>
      <c r="F26" s="322"/>
      <c r="G26" s="117">
        <v>8</v>
      </c>
      <c r="H26" s="117"/>
      <c r="I26" s="331"/>
      <c r="J26" s="346"/>
      <c r="K26" s="375"/>
      <c r="L26" s="357"/>
      <c r="M26" s="493"/>
      <c r="N26" s="493"/>
    </row>
    <row r="27" spans="2:14" ht="30" customHeight="1" thickBot="1" x14ac:dyDescent="0.35">
      <c r="B27" s="335" t="str">
        <f>+LEFT(C27,4)</f>
        <v>13.2</v>
      </c>
      <c r="C27" s="568" t="s">
        <v>278</v>
      </c>
      <c r="D27" s="317" t="s">
        <v>279</v>
      </c>
      <c r="E27" s="406" t="s">
        <v>679</v>
      </c>
      <c r="F27" s="320">
        <v>3</v>
      </c>
      <c r="G27" s="118">
        <v>1</v>
      </c>
      <c r="H27" s="242" t="s">
        <v>280</v>
      </c>
      <c r="I27" s="329" t="s">
        <v>678</v>
      </c>
      <c r="J27" s="344">
        <v>3</v>
      </c>
      <c r="K27" s="373" t="str">
        <f>+IF(OR(ISBLANK(F27),ISBLANK(J27)),"",IF(OR(AND(F27=1,J27=1),AND(F27=1,J27=2),AND(F27=1,J27=3)),"Deficiencia de control mayor (diseño y ejecución)",IF(OR(AND(F27=2,J27=2),AND(F27=3,J27=1),AND(F27=3,J27=2),AND(F27=2,J27=1)),"Deficiencia de control (diseño o ejecución)",IF(AND(F27=2,J27=3),"Oportunidad de mejora","Mantenimiento del control"))))</f>
        <v>Mantenimiento del control</v>
      </c>
      <c r="L27" s="357">
        <f>+IF(K27="",231,IF(K27="Deficiencia de control mayor (diseño y ejecución)",240,IF(K27="Deficiencia de control (diseño o ejecución)",260,IF(K27="Oportunidad de mejora",280,300))))</f>
        <v>300</v>
      </c>
      <c r="M27" s="493">
        <v>4.5632000000000001</v>
      </c>
      <c r="N27" s="493">
        <f>+L27+M27</f>
        <v>304.56319999999999</v>
      </c>
    </row>
    <row r="28" spans="2:14" ht="30" customHeight="1" thickBot="1" x14ac:dyDescent="0.35">
      <c r="B28" s="336"/>
      <c r="C28" s="569"/>
      <c r="D28" s="318"/>
      <c r="E28" s="407"/>
      <c r="F28" s="321"/>
      <c r="G28" s="115">
        <v>2</v>
      </c>
      <c r="H28" s="242" t="s">
        <v>677</v>
      </c>
      <c r="I28" s="330"/>
      <c r="J28" s="345"/>
      <c r="K28" s="374"/>
      <c r="L28" s="357"/>
      <c r="M28" s="493"/>
      <c r="N28" s="493"/>
    </row>
    <row r="29" spans="2:14" ht="30" customHeight="1" thickBot="1" x14ac:dyDescent="0.35">
      <c r="B29" s="336"/>
      <c r="C29" s="569"/>
      <c r="D29" s="318"/>
      <c r="E29" s="407"/>
      <c r="F29" s="321"/>
      <c r="G29" s="115">
        <v>3</v>
      </c>
      <c r="H29" s="242" t="s">
        <v>140</v>
      </c>
      <c r="I29" s="330"/>
      <c r="J29" s="345"/>
      <c r="K29" s="374"/>
      <c r="L29" s="357"/>
      <c r="M29" s="493"/>
      <c r="N29" s="493"/>
    </row>
    <row r="30" spans="2:14" ht="30" customHeight="1" thickBot="1" x14ac:dyDescent="0.35">
      <c r="B30" s="336"/>
      <c r="C30" s="569"/>
      <c r="D30" s="318"/>
      <c r="E30" s="407"/>
      <c r="F30" s="321"/>
      <c r="G30" s="115">
        <v>4</v>
      </c>
      <c r="H30" s="242" t="s">
        <v>676</v>
      </c>
      <c r="I30" s="330"/>
      <c r="J30" s="345"/>
      <c r="K30" s="374"/>
      <c r="L30" s="357"/>
      <c r="M30" s="493"/>
      <c r="N30" s="493"/>
    </row>
    <row r="31" spans="2:14" ht="30" customHeight="1" x14ac:dyDescent="0.3">
      <c r="B31" s="336"/>
      <c r="C31" s="569"/>
      <c r="D31" s="318"/>
      <c r="E31" s="407"/>
      <c r="F31" s="321"/>
      <c r="G31" s="115">
        <v>5</v>
      </c>
      <c r="H31" s="242" t="s">
        <v>680</v>
      </c>
      <c r="I31" s="330"/>
      <c r="J31" s="345"/>
      <c r="K31" s="374"/>
      <c r="L31" s="357"/>
      <c r="M31" s="493"/>
      <c r="N31" s="493"/>
    </row>
    <row r="32" spans="2:14" ht="30" customHeight="1" x14ac:dyDescent="0.3">
      <c r="B32" s="336"/>
      <c r="C32" s="569"/>
      <c r="D32" s="318"/>
      <c r="E32" s="407"/>
      <c r="F32" s="321"/>
      <c r="G32" s="115">
        <v>6</v>
      </c>
      <c r="H32" s="212"/>
      <c r="I32" s="330"/>
      <c r="J32" s="345"/>
      <c r="K32" s="374"/>
      <c r="L32" s="357"/>
      <c r="M32" s="493"/>
      <c r="N32" s="493"/>
    </row>
    <row r="33" spans="1:14" ht="30" customHeight="1" x14ac:dyDescent="0.3">
      <c r="B33" s="336"/>
      <c r="C33" s="569"/>
      <c r="D33" s="318"/>
      <c r="E33" s="407"/>
      <c r="F33" s="321"/>
      <c r="G33" s="115">
        <v>7</v>
      </c>
      <c r="H33" s="115"/>
      <c r="I33" s="330"/>
      <c r="J33" s="345"/>
      <c r="K33" s="374"/>
      <c r="L33" s="357"/>
      <c r="M33" s="493"/>
      <c r="N33" s="493"/>
    </row>
    <row r="34" spans="1:14" ht="30" customHeight="1" thickBot="1" x14ac:dyDescent="0.35">
      <c r="B34" s="337"/>
      <c r="C34" s="570"/>
      <c r="D34" s="319"/>
      <c r="E34" s="408"/>
      <c r="F34" s="322"/>
      <c r="G34" s="117">
        <v>8</v>
      </c>
      <c r="H34" s="117"/>
      <c r="I34" s="331"/>
      <c r="J34" s="346"/>
      <c r="K34" s="375"/>
      <c r="L34" s="357"/>
      <c r="M34" s="493"/>
      <c r="N34" s="493"/>
    </row>
    <row r="35" spans="1:14" ht="30" customHeight="1" x14ac:dyDescent="0.3">
      <c r="B35" s="335" t="str">
        <f>+LEFT(C35,4)</f>
        <v>13.3</v>
      </c>
      <c r="C35" s="568" t="s">
        <v>281</v>
      </c>
      <c r="D35" s="317" t="s">
        <v>279</v>
      </c>
      <c r="E35" s="406" t="s">
        <v>681</v>
      </c>
      <c r="F35" s="320">
        <v>3</v>
      </c>
      <c r="G35" s="118">
        <v>1</v>
      </c>
      <c r="H35" s="242" t="s">
        <v>516</v>
      </c>
      <c r="I35" s="329" t="s">
        <v>682</v>
      </c>
      <c r="J35" s="344">
        <v>3</v>
      </c>
      <c r="K35" s="373" t="str">
        <f>+IF(OR(ISBLANK(F35),ISBLANK(J35)),"",IF(OR(AND(F35=1,J35=1),AND(F35=1,J35=2),AND(F35=1,J35=3)),"Deficiencia de control mayor (diseño y ejecución)",IF(OR(AND(F35=2,J35=2),AND(F35=3,J35=1),AND(F35=3,J35=2),AND(F35=2,J35=1)),"Deficiencia de control (diseño o ejecución)",IF(AND(F35=2,J35=3),"Oportunidad de mejora","Mantenimiento del control"))))</f>
        <v>Mantenimiento del control</v>
      </c>
      <c r="L35" s="357">
        <f>+IF(K35="",231,IF(K35="Deficiencia de control mayor (diseño y ejecución)",240,IF(K35="Deficiencia de control (diseño o ejecución)",260,IF(K35="Oportunidad de mejora",280,300))))</f>
        <v>300</v>
      </c>
      <c r="M35" s="493">
        <v>4.6321000000000003</v>
      </c>
      <c r="N35" s="493">
        <f>+L35+M35</f>
        <v>304.63209999999998</v>
      </c>
    </row>
    <row r="36" spans="1:14" ht="30" customHeight="1" x14ac:dyDescent="0.3">
      <c r="B36" s="336"/>
      <c r="C36" s="569"/>
      <c r="D36" s="318"/>
      <c r="E36" s="407"/>
      <c r="F36" s="321"/>
      <c r="G36" s="115">
        <v>2</v>
      </c>
      <c r="H36" s="207" t="s">
        <v>282</v>
      </c>
      <c r="I36" s="330"/>
      <c r="J36" s="345"/>
      <c r="K36" s="374"/>
      <c r="L36" s="357"/>
      <c r="M36" s="493"/>
      <c r="N36" s="493"/>
    </row>
    <row r="37" spans="1:14" ht="30" customHeight="1" x14ac:dyDescent="0.3">
      <c r="B37" s="336"/>
      <c r="C37" s="569"/>
      <c r="D37" s="318"/>
      <c r="E37" s="407"/>
      <c r="F37" s="321"/>
      <c r="G37" s="115">
        <v>3</v>
      </c>
      <c r="H37" s="207" t="s">
        <v>248</v>
      </c>
      <c r="I37" s="330"/>
      <c r="J37" s="345"/>
      <c r="K37" s="374"/>
      <c r="L37" s="357"/>
      <c r="M37" s="493"/>
      <c r="N37" s="493"/>
    </row>
    <row r="38" spans="1:14" ht="30" customHeight="1" x14ac:dyDescent="0.3">
      <c r="B38" s="336"/>
      <c r="C38" s="569"/>
      <c r="D38" s="318"/>
      <c r="E38" s="407"/>
      <c r="F38" s="321"/>
      <c r="G38" s="115">
        <v>4</v>
      </c>
      <c r="H38" s="207" t="s">
        <v>283</v>
      </c>
      <c r="I38" s="330"/>
      <c r="J38" s="345"/>
      <c r="K38" s="374"/>
      <c r="L38" s="357"/>
      <c r="M38" s="493"/>
      <c r="N38" s="493"/>
    </row>
    <row r="39" spans="1:14" ht="30" customHeight="1" x14ac:dyDescent="0.3">
      <c r="B39" s="336"/>
      <c r="C39" s="569"/>
      <c r="D39" s="318"/>
      <c r="E39" s="407"/>
      <c r="F39" s="321"/>
      <c r="G39" s="115">
        <v>5</v>
      </c>
      <c r="H39" s="244" t="s">
        <v>284</v>
      </c>
      <c r="I39" s="330"/>
      <c r="J39" s="345"/>
      <c r="K39" s="374"/>
      <c r="L39" s="357"/>
      <c r="M39" s="493"/>
      <c r="N39" s="493"/>
    </row>
    <row r="40" spans="1:14" ht="30" customHeight="1" x14ac:dyDescent="0.3">
      <c r="B40" s="336"/>
      <c r="C40" s="569"/>
      <c r="D40" s="318"/>
      <c r="E40" s="407"/>
      <c r="F40" s="321"/>
      <c r="G40" s="115">
        <v>6</v>
      </c>
      <c r="H40" s="115"/>
      <c r="I40" s="330"/>
      <c r="J40" s="345"/>
      <c r="K40" s="374"/>
      <c r="L40" s="357"/>
      <c r="M40" s="493"/>
      <c r="N40" s="493"/>
    </row>
    <row r="41" spans="1:14" ht="30" customHeight="1" x14ac:dyDescent="0.3">
      <c r="B41" s="336"/>
      <c r="C41" s="569"/>
      <c r="D41" s="318"/>
      <c r="E41" s="407"/>
      <c r="F41" s="321"/>
      <c r="G41" s="115">
        <v>7</v>
      </c>
      <c r="H41" s="115"/>
      <c r="I41" s="330"/>
      <c r="J41" s="345"/>
      <c r="K41" s="374"/>
      <c r="L41" s="357"/>
      <c r="M41" s="493"/>
      <c r="N41" s="493"/>
    </row>
    <row r="42" spans="1:14" ht="30" customHeight="1" thickBot="1" x14ac:dyDescent="0.35">
      <c r="B42" s="337"/>
      <c r="C42" s="570"/>
      <c r="D42" s="319"/>
      <c r="E42" s="408"/>
      <c r="F42" s="322"/>
      <c r="G42" s="117">
        <v>8</v>
      </c>
      <c r="H42" s="117"/>
      <c r="I42" s="331"/>
      <c r="J42" s="346"/>
      <c r="K42" s="375"/>
      <c r="L42" s="357"/>
      <c r="M42" s="493"/>
      <c r="N42" s="493"/>
    </row>
    <row r="43" spans="1:14" ht="30" customHeight="1" x14ac:dyDescent="0.3">
      <c r="A43" s="597"/>
      <c r="B43" s="335" t="str">
        <f>+LEFT(C43,4)</f>
        <v>13.4</v>
      </c>
      <c r="C43" s="568" t="s">
        <v>285</v>
      </c>
      <c r="D43" s="317" t="s">
        <v>279</v>
      </c>
      <c r="E43" s="406" t="s">
        <v>686</v>
      </c>
      <c r="F43" s="320">
        <v>3</v>
      </c>
      <c r="G43" s="118">
        <v>1</v>
      </c>
      <c r="H43" s="239" t="s">
        <v>540</v>
      </c>
      <c r="I43" s="329" t="s">
        <v>541</v>
      </c>
      <c r="J43" s="344">
        <v>3</v>
      </c>
      <c r="K43" s="373" t="str">
        <f>+IF(OR(ISBLANK(F43),ISBLANK(J43)),"",IF(OR(AND(F43=1,J43=1),AND(F43=1,J43=2),AND(F43=1,J43=3)),"Deficiencia de control mayor (diseño y ejecución)",IF(OR(AND(F43=2,J43=2),AND(F43=3,J43=1),AND(F43=3,J43=2),AND(F43=2,J43=1)),"Deficiencia de control (diseño o ejecución)",IF(AND(F43=2,J43=3),"Oportunidad de mejora","Mantenimiento del control"))))</f>
        <v>Mantenimiento del control</v>
      </c>
      <c r="L43" s="357">
        <f>+IF(K43="",231,IF(K43="Deficiencia de control mayor (diseño y ejecución)",240,IF(K43="Deficiencia de control (diseño o ejecución)",260,IF(K43="Oportunidad de mejora",280,300))))</f>
        <v>300</v>
      </c>
      <c r="M43" s="493">
        <v>4.7896000000000001</v>
      </c>
      <c r="N43" s="493">
        <f>+L43+M43</f>
        <v>304.78960000000001</v>
      </c>
    </row>
    <row r="44" spans="1:14" ht="33.75" customHeight="1" x14ac:dyDescent="0.3">
      <c r="A44" s="597"/>
      <c r="B44" s="336"/>
      <c r="C44" s="569"/>
      <c r="D44" s="318"/>
      <c r="E44" s="407"/>
      <c r="F44" s="321"/>
      <c r="G44" s="115">
        <v>2</v>
      </c>
      <c r="H44" s="246" t="s">
        <v>528</v>
      </c>
      <c r="I44" s="330"/>
      <c r="J44" s="345"/>
      <c r="K44" s="374"/>
      <c r="L44" s="357"/>
      <c r="M44" s="493"/>
      <c r="N44" s="493"/>
    </row>
    <row r="45" spans="1:14" ht="32.25" customHeight="1" x14ac:dyDescent="0.3">
      <c r="B45" s="336"/>
      <c r="C45" s="569"/>
      <c r="D45" s="318"/>
      <c r="E45" s="407"/>
      <c r="F45" s="321"/>
      <c r="G45" s="115">
        <v>3</v>
      </c>
      <c r="H45" s="207" t="s">
        <v>685</v>
      </c>
      <c r="I45" s="330"/>
      <c r="J45" s="345"/>
      <c r="K45" s="374"/>
      <c r="L45" s="357"/>
      <c r="M45" s="493"/>
      <c r="N45" s="493"/>
    </row>
    <row r="46" spans="1:14" ht="35.25" customHeight="1" x14ac:dyDescent="0.3">
      <c r="B46" s="336"/>
      <c r="C46" s="569"/>
      <c r="D46" s="318"/>
      <c r="E46" s="407"/>
      <c r="F46" s="321"/>
      <c r="G46" s="115">
        <v>4</v>
      </c>
      <c r="H46" s="244" t="s">
        <v>683</v>
      </c>
      <c r="I46" s="330"/>
      <c r="J46" s="345"/>
      <c r="K46" s="374"/>
      <c r="L46" s="357"/>
      <c r="M46" s="493"/>
      <c r="N46" s="493"/>
    </row>
    <row r="47" spans="1:14" ht="30" customHeight="1" x14ac:dyDescent="0.3">
      <c r="B47" s="336"/>
      <c r="C47" s="569"/>
      <c r="D47" s="318"/>
      <c r="E47" s="407"/>
      <c r="F47" s="321"/>
      <c r="G47" s="115">
        <v>5</v>
      </c>
      <c r="H47" s="244" t="s">
        <v>684</v>
      </c>
      <c r="I47" s="330"/>
      <c r="J47" s="345"/>
      <c r="K47" s="374"/>
      <c r="L47" s="357"/>
      <c r="M47" s="493"/>
      <c r="N47" s="493"/>
    </row>
    <row r="48" spans="1:14" ht="30" customHeight="1" x14ac:dyDescent="0.3">
      <c r="B48" s="336"/>
      <c r="C48" s="569"/>
      <c r="D48" s="318"/>
      <c r="E48" s="407"/>
      <c r="F48" s="321"/>
      <c r="G48" s="115">
        <v>6</v>
      </c>
      <c r="H48" s="244" t="s">
        <v>500</v>
      </c>
      <c r="I48" s="330"/>
      <c r="J48" s="345"/>
      <c r="K48" s="374"/>
      <c r="L48" s="357"/>
      <c r="M48" s="493"/>
      <c r="N48" s="493"/>
    </row>
    <row r="49" spans="2:14" ht="30" customHeight="1" x14ac:dyDescent="0.3">
      <c r="B49" s="336"/>
      <c r="C49" s="569"/>
      <c r="D49" s="318"/>
      <c r="E49" s="407"/>
      <c r="F49" s="321"/>
      <c r="G49" s="115">
        <v>7</v>
      </c>
      <c r="H49" s="246" t="s">
        <v>528</v>
      </c>
      <c r="I49" s="330"/>
      <c r="J49" s="345"/>
      <c r="K49" s="374"/>
      <c r="L49" s="357"/>
      <c r="M49" s="493"/>
      <c r="N49" s="493"/>
    </row>
    <row r="50" spans="2:14" ht="70.5" customHeight="1" thickBot="1" x14ac:dyDescent="0.35">
      <c r="B50" s="337"/>
      <c r="C50" s="570"/>
      <c r="D50" s="319"/>
      <c r="E50" s="408"/>
      <c r="F50" s="322"/>
      <c r="G50" s="117">
        <v>8</v>
      </c>
      <c r="H50" s="117"/>
      <c r="I50" s="331"/>
      <c r="J50" s="346"/>
      <c r="K50" s="375"/>
      <c r="L50" s="357"/>
      <c r="M50" s="493"/>
      <c r="N50" s="493"/>
    </row>
    <row r="51" spans="2:14" ht="12.75" customHeight="1" x14ac:dyDescent="0.3">
      <c r="B51" s="562"/>
      <c r="C51" s="562" t="s">
        <v>286</v>
      </c>
      <c r="D51" s="573" t="s">
        <v>8</v>
      </c>
      <c r="E51" s="598" t="s">
        <v>113</v>
      </c>
      <c r="F51" s="576" t="s">
        <v>201</v>
      </c>
      <c r="G51" s="575" t="s">
        <v>115</v>
      </c>
      <c r="H51" s="575"/>
      <c r="I51" s="575"/>
      <c r="J51" s="576" t="s">
        <v>202</v>
      </c>
      <c r="K51" s="563" t="s">
        <v>143</v>
      </c>
      <c r="L51" s="491"/>
      <c r="M51" s="491"/>
      <c r="N51" s="491"/>
    </row>
    <row r="52" spans="2:14" ht="15" customHeight="1" x14ac:dyDescent="0.3">
      <c r="B52" s="561"/>
      <c r="C52" s="561"/>
      <c r="D52" s="573"/>
      <c r="E52" s="599"/>
      <c r="F52" s="576"/>
      <c r="G52" s="575"/>
      <c r="H52" s="575"/>
      <c r="I52" s="575"/>
      <c r="J52" s="576"/>
      <c r="K52" s="563"/>
      <c r="L52" s="491"/>
      <c r="M52" s="491"/>
      <c r="N52" s="491"/>
    </row>
    <row r="53" spans="2:14" ht="27.75" customHeight="1" x14ac:dyDescent="0.3">
      <c r="B53" s="561"/>
      <c r="C53" s="561"/>
      <c r="D53" s="573"/>
      <c r="E53" s="599"/>
      <c r="F53" s="576"/>
      <c r="G53" s="575" t="s">
        <v>13</v>
      </c>
      <c r="H53" s="574" t="s">
        <v>15</v>
      </c>
      <c r="I53" s="574" t="s">
        <v>17</v>
      </c>
      <c r="J53" s="576"/>
      <c r="K53" s="563"/>
      <c r="L53" s="491"/>
      <c r="M53" s="491"/>
      <c r="N53" s="491"/>
    </row>
    <row r="54" spans="2:14" ht="87.75" customHeight="1" thickBot="1" x14ac:dyDescent="0.35">
      <c r="B54" s="561"/>
      <c r="C54" s="561"/>
      <c r="D54" s="573"/>
      <c r="E54" s="600"/>
      <c r="F54" s="576"/>
      <c r="G54" s="575"/>
      <c r="H54" s="575"/>
      <c r="I54" s="575"/>
      <c r="J54" s="576"/>
      <c r="K54" s="564"/>
      <c r="L54" s="491"/>
      <c r="M54" s="491"/>
      <c r="N54" s="491"/>
    </row>
    <row r="55" spans="2:14" ht="66" x14ac:dyDescent="0.3">
      <c r="B55" s="335" t="str">
        <f>+LEFT(C55,4)</f>
        <v>14.1</v>
      </c>
      <c r="C55" s="588" t="s">
        <v>287</v>
      </c>
      <c r="D55" s="317" t="s">
        <v>288</v>
      </c>
      <c r="E55" s="406" t="s">
        <v>687</v>
      </c>
      <c r="F55" s="320">
        <v>3</v>
      </c>
      <c r="G55" s="118">
        <v>1</v>
      </c>
      <c r="H55" s="242" t="s">
        <v>690</v>
      </c>
      <c r="I55" s="329" t="s">
        <v>688</v>
      </c>
      <c r="J55" s="344">
        <v>3</v>
      </c>
      <c r="K55" s="373" t="str">
        <f>+IF(OR(ISBLANK(F55),ISBLANK(J55)),"",IF(OR(AND(F55=1,J55=1),AND(F55=1,J55=2),AND(F55=1,J55=3)),"Deficiencia de control mayor (diseño y ejecución)",IF(OR(AND(F55=2,J55=2),AND(F55=3,J55=1),AND(F55=3,J55=2),AND(F55=2,J55=1)),"Deficiencia de control (diseño o ejecución)",IF(AND(F55=2,J55=3),"Oportunidad de mejora","Mantenimiento del control"))))</f>
        <v>Mantenimiento del control</v>
      </c>
      <c r="L55" s="357">
        <f>+IF(K55="",231,IF(K55="Deficiencia de control mayor (diseño y ejecución)",240,IF(K55="Deficiencia de control (diseño o ejecución)",260,IF(K55="Oportunidad de mejora",280,300))))</f>
        <v>300</v>
      </c>
      <c r="M55" s="493">
        <v>4.8964999999999996</v>
      </c>
      <c r="N55" s="493">
        <f>+L55+M55</f>
        <v>304.8965</v>
      </c>
    </row>
    <row r="56" spans="2:14" ht="16.5" x14ac:dyDescent="0.3">
      <c r="B56" s="336"/>
      <c r="C56" s="589"/>
      <c r="D56" s="318"/>
      <c r="E56" s="407"/>
      <c r="F56" s="321"/>
      <c r="G56" s="115">
        <v>2</v>
      </c>
      <c r="H56" s="115"/>
      <c r="I56" s="330"/>
      <c r="J56" s="345"/>
      <c r="K56" s="374"/>
      <c r="L56" s="357"/>
      <c r="M56" s="493"/>
      <c r="N56" s="493"/>
    </row>
    <row r="57" spans="2:14" ht="16.5" x14ac:dyDescent="0.3">
      <c r="B57" s="336"/>
      <c r="C57" s="589"/>
      <c r="D57" s="318"/>
      <c r="E57" s="407"/>
      <c r="F57" s="321"/>
      <c r="G57" s="115">
        <v>3</v>
      </c>
      <c r="H57" s="115"/>
      <c r="I57" s="330"/>
      <c r="J57" s="345"/>
      <c r="K57" s="374"/>
      <c r="L57" s="357"/>
      <c r="M57" s="493"/>
      <c r="N57" s="493"/>
    </row>
    <row r="58" spans="2:14" ht="16.5" x14ac:dyDescent="0.3">
      <c r="B58" s="336"/>
      <c r="C58" s="589"/>
      <c r="D58" s="318"/>
      <c r="E58" s="407"/>
      <c r="F58" s="321"/>
      <c r="G58" s="115">
        <v>4</v>
      </c>
      <c r="H58" s="115"/>
      <c r="I58" s="330"/>
      <c r="J58" s="345"/>
      <c r="K58" s="374"/>
      <c r="L58" s="357"/>
      <c r="M58" s="493"/>
      <c r="N58" s="493"/>
    </row>
    <row r="59" spans="2:14" ht="16.5" x14ac:dyDescent="0.3">
      <c r="B59" s="336"/>
      <c r="C59" s="589"/>
      <c r="D59" s="318"/>
      <c r="E59" s="407"/>
      <c r="F59" s="321"/>
      <c r="G59" s="115">
        <v>5</v>
      </c>
      <c r="H59" s="115"/>
      <c r="I59" s="330"/>
      <c r="J59" s="345"/>
      <c r="K59" s="374"/>
      <c r="L59" s="357"/>
      <c r="M59" s="493"/>
      <c r="N59" s="493"/>
    </row>
    <row r="60" spans="2:14" ht="16.5" x14ac:dyDescent="0.3">
      <c r="B60" s="336"/>
      <c r="C60" s="589"/>
      <c r="D60" s="318"/>
      <c r="E60" s="407"/>
      <c r="F60" s="321"/>
      <c r="G60" s="115">
        <v>6</v>
      </c>
      <c r="H60" s="115"/>
      <c r="I60" s="330"/>
      <c r="J60" s="345"/>
      <c r="K60" s="374"/>
      <c r="L60" s="357"/>
      <c r="M60" s="493"/>
      <c r="N60" s="493"/>
    </row>
    <row r="61" spans="2:14" ht="16.5" x14ac:dyDescent="0.3">
      <c r="B61" s="336"/>
      <c r="C61" s="589"/>
      <c r="D61" s="318"/>
      <c r="E61" s="407"/>
      <c r="F61" s="321"/>
      <c r="G61" s="115">
        <v>7</v>
      </c>
      <c r="H61" s="115"/>
      <c r="I61" s="330"/>
      <c r="J61" s="345"/>
      <c r="K61" s="374"/>
      <c r="L61" s="357"/>
      <c r="M61" s="493"/>
      <c r="N61" s="493"/>
    </row>
    <row r="62" spans="2:14" ht="17.25" thickBot="1" x14ac:dyDescent="0.35">
      <c r="B62" s="337"/>
      <c r="C62" s="590"/>
      <c r="D62" s="319"/>
      <c r="E62" s="408"/>
      <c r="F62" s="322"/>
      <c r="G62" s="117">
        <v>8</v>
      </c>
      <c r="H62" s="117"/>
      <c r="I62" s="331"/>
      <c r="J62" s="346"/>
      <c r="K62" s="375"/>
      <c r="L62" s="357"/>
      <c r="M62" s="493"/>
      <c r="N62" s="493"/>
    </row>
    <row r="63" spans="2:14" ht="30" customHeight="1" x14ac:dyDescent="0.3">
      <c r="B63" s="335" t="str">
        <f>+LEFT(C63,4)</f>
        <v>14.2</v>
      </c>
      <c r="C63" s="585" t="s">
        <v>289</v>
      </c>
      <c r="D63" s="317" t="s">
        <v>288</v>
      </c>
      <c r="E63" s="406" t="s">
        <v>689</v>
      </c>
      <c r="F63" s="320">
        <v>3</v>
      </c>
      <c r="G63" s="118">
        <v>1</v>
      </c>
      <c r="H63" s="242" t="s">
        <v>683</v>
      </c>
      <c r="I63" s="329" t="s">
        <v>290</v>
      </c>
      <c r="J63" s="344">
        <v>3</v>
      </c>
      <c r="K63" s="373" t="str">
        <f>+IF(OR(ISBLANK(F63),ISBLANK(J63)),"",IF(OR(AND(F63=1,J63=1),AND(F63=1,J63=2),AND(F63=1,J63=3)),"Deficiencia de control mayor (diseño y ejecución)",IF(OR(AND(F63=2,J63=2),AND(F63=3,J63=1),AND(F63=3,J63=2),AND(F63=2,J63=1)),"Deficiencia de control (diseño o ejecución)",IF(AND(F63=2,J63=3),"Oportunidad de mejora","Mantenimiento del control"))))</f>
        <v>Mantenimiento del control</v>
      </c>
      <c r="L63" s="357">
        <f>+IF(K63="",231,IF(K63="Deficiencia de control mayor (diseño y ejecución)",240,IF(K63="Deficiencia de control (diseño o ejecución)",260,IF(K63="Oportunidad de mejora",280,300))))</f>
        <v>300</v>
      </c>
      <c r="M63" s="493">
        <v>4.9854000000000003</v>
      </c>
      <c r="N63" s="493">
        <f>+L63+M63</f>
        <v>304.98540000000003</v>
      </c>
    </row>
    <row r="64" spans="2:14" ht="33" x14ac:dyDescent="0.3">
      <c r="B64" s="336"/>
      <c r="C64" s="586"/>
      <c r="D64" s="318"/>
      <c r="E64" s="407"/>
      <c r="F64" s="321"/>
      <c r="G64" s="115">
        <v>2</v>
      </c>
      <c r="H64" s="244" t="s">
        <v>684</v>
      </c>
      <c r="I64" s="330"/>
      <c r="J64" s="345"/>
      <c r="K64" s="374"/>
      <c r="L64" s="357"/>
      <c r="M64" s="493"/>
      <c r="N64" s="493"/>
    </row>
    <row r="65" spans="2:14" ht="17.25" thickBot="1" x14ac:dyDescent="0.35">
      <c r="B65" s="336"/>
      <c r="C65" s="586"/>
      <c r="D65" s="318"/>
      <c r="E65" s="407"/>
      <c r="F65" s="321"/>
      <c r="G65" s="115">
        <v>3</v>
      </c>
      <c r="H65" s="246" t="s">
        <v>280</v>
      </c>
      <c r="I65" s="330"/>
      <c r="J65" s="345"/>
      <c r="K65" s="374"/>
      <c r="L65" s="357"/>
      <c r="M65" s="493"/>
      <c r="N65" s="493"/>
    </row>
    <row r="66" spans="2:14" ht="33" x14ac:dyDescent="0.3">
      <c r="B66" s="336"/>
      <c r="C66" s="586"/>
      <c r="D66" s="318"/>
      <c r="E66" s="407"/>
      <c r="F66" s="321"/>
      <c r="G66" s="115">
        <v>4</v>
      </c>
      <c r="H66" s="242" t="s">
        <v>500</v>
      </c>
      <c r="I66" s="330"/>
      <c r="J66" s="345"/>
      <c r="K66" s="374"/>
      <c r="L66" s="357"/>
      <c r="M66" s="493"/>
      <c r="N66" s="493"/>
    </row>
    <row r="67" spans="2:14" ht="16.5" x14ac:dyDescent="0.3">
      <c r="B67" s="336"/>
      <c r="C67" s="586"/>
      <c r="D67" s="318"/>
      <c r="E67" s="407"/>
      <c r="F67" s="321"/>
      <c r="G67" s="115">
        <v>5</v>
      </c>
      <c r="H67" s="244"/>
      <c r="I67" s="330"/>
      <c r="J67" s="345"/>
      <c r="K67" s="374"/>
      <c r="L67" s="357"/>
      <c r="M67" s="493"/>
      <c r="N67" s="493"/>
    </row>
    <row r="68" spans="2:14" ht="16.5" x14ac:dyDescent="0.3">
      <c r="B68" s="336"/>
      <c r="C68" s="586"/>
      <c r="D68" s="318"/>
      <c r="E68" s="407"/>
      <c r="F68" s="321"/>
      <c r="G68" s="115">
        <v>6</v>
      </c>
      <c r="H68" s="115"/>
      <c r="I68" s="330"/>
      <c r="J68" s="345"/>
      <c r="K68" s="374"/>
      <c r="L68" s="357"/>
      <c r="M68" s="493"/>
      <c r="N68" s="493"/>
    </row>
    <row r="69" spans="2:14" ht="16.5" x14ac:dyDescent="0.3">
      <c r="B69" s="336"/>
      <c r="C69" s="586"/>
      <c r="D69" s="318"/>
      <c r="E69" s="407"/>
      <c r="F69" s="321"/>
      <c r="G69" s="115">
        <v>7</v>
      </c>
      <c r="H69" s="115"/>
      <c r="I69" s="330"/>
      <c r="J69" s="345"/>
      <c r="K69" s="374"/>
      <c r="L69" s="357"/>
      <c r="M69" s="493"/>
      <c r="N69" s="493"/>
    </row>
    <row r="70" spans="2:14" ht="17.25" thickBot="1" x14ac:dyDescent="0.35">
      <c r="B70" s="337"/>
      <c r="C70" s="587"/>
      <c r="D70" s="319"/>
      <c r="E70" s="408"/>
      <c r="F70" s="322"/>
      <c r="G70" s="117">
        <v>8</v>
      </c>
      <c r="H70" s="117"/>
      <c r="I70" s="331"/>
      <c r="J70" s="346"/>
      <c r="K70" s="375"/>
      <c r="L70" s="357"/>
      <c r="M70" s="493"/>
      <c r="N70" s="493"/>
    </row>
    <row r="71" spans="2:14" ht="49.5" x14ac:dyDescent="0.3">
      <c r="B71" s="335" t="str">
        <f>+LEFT(C71,4)</f>
        <v>14.3</v>
      </c>
      <c r="C71" s="582" t="s">
        <v>291</v>
      </c>
      <c r="D71" s="317" t="s">
        <v>288</v>
      </c>
      <c r="E71" s="406" t="s">
        <v>694</v>
      </c>
      <c r="F71" s="320">
        <v>3</v>
      </c>
      <c r="G71" s="118">
        <v>1</v>
      </c>
      <c r="H71" s="242" t="s">
        <v>691</v>
      </c>
      <c r="I71" s="392" t="s">
        <v>292</v>
      </c>
      <c r="J71" s="344">
        <v>3</v>
      </c>
      <c r="K71" s="373" t="str">
        <f>+IF(OR(ISBLANK(F71),ISBLANK(J71)),"",IF(OR(AND(F71=1,J71=1),AND(F71=1,J71=2),AND(F71=1,J71=3)),"Deficiencia de control mayor (diseño y ejecución)",IF(OR(AND(F71=2,J71=2),AND(F71=3,J71=1),AND(F71=3,J71=2),AND(F71=2,J71=1)),"Deficiencia de control (diseño o ejecución)",IF(AND(F71=2,J71=3),"Oportunidad de mejora","Mantenimiento del control"))))</f>
        <v>Mantenimiento del control</v>
      </c>
      <c r="L71" s="357">
        <f>+IF(K71="",231,IF(K71="Deficiencia de control mayor (diseño y ejecución)",240,IF(K71="Deficiencia de control (diseño o ejecución)",260,IF(K71="Oportunidad de mejora",280,300))))</f>
        <v>300</v>
      </c>
      <c r="M71" s="493">
        <v>5.0122999999999998</v>
      </c>
      <c r="N71" s="493">
        <f>+L71+M71</f>
        <v>305.01229999999998</v>
      </c>
    </row>
    <row r="72" spans="2:14" ht="30.75" customHeight="1" x14ac:dyDescent="0.3">
      <c r="B72" s="336"/>
      <c r="C72" s="583"/>
      <c r="D72" s="318"/>
      <c r="E72" s="407"/>
      <c r="F72" s="321"/>
      <c r="G72" s="115">
        <v>2</v>
      </c>
      <c r="H72" s="243" t="s">
        <v>693</v>
      </c>
      <c r="I72" s="601"/>
      <c r="J72" s="345"/>
      <c r="K72" s="374"/>
      <c r="L72" s="357"/>
      <c r="M72" s="493"/>
      <c r="N72" s="493"/>
    </row>
    <row r="73" spans="2:14" ht="16.5" x14ac:dyDescent="0.3">
      <c r="B73" s="336"/>
      <c r="C73" s="583"/>
      <c r="D73" s="318"/>
      <c r="E73" s="407"/>
      <c r="F73" s="321"/>
      <c r="G73" s="115">
        <v>3</v>
      </c>
      <c r="H73" s="243" t="s">
        <v>699</v>
      </c>
      <c r="I73" s="601"/>
      <c r="J73" s="345"/>
      <c r="K73" s="374"/>
      <c r="L73" s="357"/>
      <c r="M73" s="493"/>
      <c r="N73" s="493"/>
    </row>
    <row r="74" spans="2:14" ht="16.5" x14ac:dyDescent="0.3">
      <c r="B74" s="336"/>
      <c r="C74" s="583"/>
      <c r="D74" s="318"/>
      <c r="E74" s="407"/>
      <c r="F74" s="321"/>
      <c r="G74" s="115">
        <v>4</v>
      </c>
      <c r="H74" s="115"/>
      <c r="I74" s="601"/>
      <c r="J74" s="345"/>
      <c r="K74" s="374"/>
      <c r="L74" s="357"/>
      <c r="M74" s="493"/>
      <c r="N74" s="493"/>
    </row>
    <row r="75" spans="2:14" ht="16.5" x14ac:dyDescent="0.3">
      <c r="B75" s="336"/>
      <c r="C75" s="583"/>
      <c r="D75" s="318"/>
      <c r="E75" s="407"/>
      <c r="F75" s="321"/>
      <c r="G75" s="115">
        <v>5</v>
      </c>
      <c r="H75" s="115"/>
      <c r="I75" s="601"/>
      <c r="J75" s="345"/>
      <c r="K75" s="374"/>
      <c r="L75" s="357"/>
      <c r="M75" s="493"/>
      <c r="N75" s="493"/>
    </row>
    <row r="76" spans="2:14" ht="16.5" x14ac:dyDescent="0.3">
      <c r="B76" s="336"/>
      <c r="C76" s="583"/>
      <c r="D76" s="318"/>
      <c r="E76" s="407"/>
      <c r="F76" s="321"/>
      <c r="G76" s="115">
        <v>6</v>
      </c>
      <c r="H76" s="115"/>
      <c r="I76" s="601"/>
      <c r="J76" s="345"/>
      <c r="K76" s="374"/>
      <c r="L76" s="357"/>
      <c r="M76" s="493"/>
      <c r="N76" s="493"/>
    </row>
    <row r="77" spans="2:14" ht="16.5" x14ac:dyDescent="0.3">
      <c r="B77" s="336"/>
      <c r="C77" s="583"/>
      <c r="D77" s="318"/>
      <c r="E77" s="407"/>
      <c r="F77" s="321"/>
      <c r="G77" s="115">
        <v>7</v>
      </c>
      <c r="H77" s="115"/>
      <c r="I77" s="601"/>
      <c r="J77" s="345"/>
      <c r="K77" s="374"/>
      <c r="L77" s="357"/>
      <c r="M77" s="493"/>
      <c r="N77" s="493"/>
    </row>
    <row r="78" spans="2:14" ht="17.25" thickBot="1" x14ac:dyDescent="0.35">
      <c r="B78" s="337"/>
      <c r="C78" s="584"/>
      <c r="D78" s="319"/>
      <c r="E78" s="408"/>
      <c r="F78" s="322"/>
      <c r="G78" s="117">
        <v>8</v>
      </c>
      <c r="H78" s="117"/>
      <c r="I78" s="602"/>
      <c r="J78" s="346"/>
      <c r="K78" s="375"/>
      <c r="L78" s="357"/>
      <c r="M78" s="493"/>
      <c r="N78" s="493"/>
    </row>
    <row r="79" spans="2:14" ht="16.5" x14ac:dyDescent="0.3">
      <c r="B79" s="335" t="str">
        <f>+LEFT(C79,4)</f>
        <v>14.4</v>
      </c>
      <c r="C79" s="585" t="s">
        <v>293</v>
      </c>
      <c r="D79" s="317" t="s">
        <v>288</v>
      </c>
      <c r="E79" s="406" t="s">
        <v>696</v>
      </c>
      <c r="F79" s="320">
        <v>3</v>
      </c>
      <c r="G79" s="118">
        <v>1</v>
      </c>
      <c r="H79" s="212" t="s">
        <v>692</v>
      </c>
      <c r="I79" s="329" t="s">
        <v>695</v>
      </c>
      <c r="J79" s="344">
        <v>3</v>
      </c>
      <c r="K79" s="373" t="str">
        <f>+IF(OR(ISBLANK(F79),ISBLANK(J79)),"",IF(OR(AND(F79=1,J79=1),AND(F79=1,J79=2),AND(F79=1,J79=3)),"Deficiencia de control mayor (diseño y ejecución)",IF(OR(AND(F79=2,J79=2),AND(F79=3,J79=1),AND(F79=3,J79=2),AND(F79=2,J79=1)),"Deficiencia de control (diseño o ejecución)",IF(AND(F79=2,J79=3),"Oportunidad de mejora","Mantenimiento del control"))))</f>
        <v>Mantenimiento del control</v>
      </c>
      <c r="L79" s="357">
        <f>+IF(K79="",231,IF(K79="Deficiencia de control mayor (diseño y ejecución)",240,IF(K79="Deficiencia de control (diseño o ejecución)",260,IF(K79="Oportunidad de mejora",280,300))))</f>
        <v>300</v>
      </c>
      <c r="M79" s="493">
        <v>5.1235999999999997</v>
      </c>
      <c r="N79" s="493">
        <f>+L79+M79</f>
        <v>305.12360000000001</v>
      </c>
    </row>
    <row r="80" spans="2:14" ht="16.5" x14ac:dyDescent="0.3">
      <c r="B80" s="336"/>
      <c r="C80" s="586"/>
      <c r="D80" s="318"/>
      <c r="E80" s="407"/>
      <c r="F80" s="321"/>
      <c r="G80" s="115">
        <v>2</v>
      </c>
      <c r="H80" s="246" t="s">
        <v>140</v>
      </c>
      <c r="I80" s="330"/>
      <c r="J80" s="345"/>
      <c r="K80" s="374"/>
      <c r="L80" s="357"/>
      <c r="M80" s="493"/>
      <c r="N80" s="493"/>
    </row>
    <row r="81" spans="2:14" ht="16.5" x14ac:dyDescent="0.3">
      <c r="B81" s="336"/>
      <c r="C81" s="586"/>
      <c r="D81" s="318"/>
      <c r="E81" s="407"/>
      <c r="F81" s="321"/>
      <c r="G81" s="115">
        <v>3</v>
      </c>
      <c r="H81" s="243" t="s">
        <v>693</v>
      </c>
      <c r="I81" s="330"/>
      <c r="J81" s="345"/>
      <c r="K81" s="374"/>
      <c r="L81" s="357"/>
      <c r="M81" s="493"/>
      <c r="N81" s="493"/>
    </row>
    <row r="82" spans="2:14" ht="16.5" x14ac:dyDescent="0.3">
      <c r="B82" s="336"/>
      <c r="C82" s="586"/>
      <c r="D82" s="318"/>
      <c r="E82" s="407"/>
      <c r="F82" s="321"/>
      <c r="G82" s="115">
        <v>4</v>
      </c>
      <c r="H82" s="246"/>
      <c r="I82" s="330"/>
      <c r="J82" s="345"/>
      <c r="K82" s="374"/>
      <c r="L82" s="357"/>
      <c r="M82" s="493"/>
      <c r="N82" s="493"/>
    </row>
    <row r="83" spans="2:14" ht="16.5" x14ac:dyDescent="0.3">
      <c r="B83" s="336"/>
      <c r="C83" s="586"/>
      <c r="D83" s="318"/>
      <c r="E83" s="407"/>
      <c r="F83" s="321"/>
      <c r="G83" s="115">
        <v>5</v>
      </c>
      <c r="H83" s="246"/>
      <c r="I83" s="330"/>
      <c r="J83" s="345"/>
      <c r="K83" s="374"/>
      <c r="L83" s="357"/>
      <c r="M83" s="493"/>
      <c r="N83" s="493"/>
    </row>
    <row r="84" spans="2:14" ht="16.5" x14ac:dyDescent="0.3">
      <c r="B84" s="336"/>
      <c r="C84" s="586"/>
      <c r="D84" s="318"/>
      <c r="E84" s="407"/>
      <c r="F84" s="321"/>
      <c r="G84" s="115">
        <v>6</v>
      </c>
      <c r="H84" s="115"/>
      <c r="I84" s="330"/>
      <c r="J84" s="345"/>
      <c r="K84" s="374"/>
      <c r="L84" s="357"/>
      <c r="M84" s="493"/>
      <c r="N84" s="493"/>
    </row>
    <row r="85" spans="2:14" ht="16.5" x14ac:dyDescent="0.3">
      <c r="B85" s="336"/>
      <c r="C85" s="586"/>
      <c r="D85" s="318"/>
      <c r="E85" s="407"/>
      <c r="F85" s="321"/>
      <c r="G85" s="115">
        <v>7</v>
      </c>
      <c r="H85" s="115"/>
      <c r="I85" s="330"/>
      <c r="J85" s="345"/>
      <c r="K85" s="374"/>
      <c r="L85" s="357"/>
      <c r="M85" s="493"/>
      <c r="N85" s="493"/>
    </row>
    <row r="86" spans="2:14" ht="17.25" thickBot="1" x14ac:dyDescent="0.35">
      <c r="B86" s="337"/>
      <c r="C86" s="587"/>
      <c r="D86" s="319"/>
      <c r="E86" s="408"/>
      <c r="F86" s="322"/>
      <c r="G86" s="117">
        <v>8</v>
      </c>
      <c r="H86" s="117"/>
      <c r="I86" s="331"/>
      <c r="J86" s="346"/>
      <c r="K86" s="375"/>
      <c r="L86" s="357"/>
      <c r="M86" s="493"/>
      <c r="N86" s="493"/>
    </row>
    <row r="87" spans="2:14" ht="12.75" customHeight="1" x14ac:dyDescent="0.3">
      <c r="B87" s="562"/>
      <c r="C87" s="562" t="s">
        <v>294</v>
      </c>
      <c r="D87" s="573" t="s">
        <v>8</v>
      </c>
      <c r="E87" s="598" t="s">
        <v>113</v>
      </c>
      <c r="F87" s="576" t="s">
        <v>201</v>
      </c>
      <c r="G87" s="575" t="s">
        <v>115</v>
      </c>
      <c r="H87" s="575"/>
      <c r="I87" s="575"/>
      <c r="J87" s="576" t="s">
        <v>202</v>
      </c>
      <c r="K87" s="563" t="s">
        <v>143</v>
      </c>
      <c r="L87" s="491"/>
      <c r="M87" s="491"/>
      <c r="N87" s="491"/>
    </row>
    <row r="88" spans="2:14" ht="15" customHeight="1" x14ac:dyDescent="0.3">
      <c r="B88" s="561"/>
      <c r="C88" s="561"/>
      <c r="D88" s="573"/>
      <c r="E88" s="599"/>
      <c r="F88" s="576"/>
      <c r="G88" s="575"/>
      <c r="H88" s="575"/>
      <c r="I88" s="575"/>
      <c r="J88" s="576"/>
      <c r="K88" s="563"/>
      <c r="L88" s="491"/>
      <c r="M88" s="491"/>
      <c r="N88" s="491"/>
    </row>
    <row r="89" spans="2:14" ht="27.75" customHeight="1" x14ac:dyDescent="0.3">
      <c r="B89" s="561"/>
      <c r="C89" s="561"/>
      <c r="D89" s="573"/>
      <c r="E89" s="599"/>
      <c r="F89" s="576"/>
      <c r="G89" s="575" t="s">
        <v>13</v>
      </c>
      <c r="H89" s="574" t="s">
        <v>15</v>
      </c>
      <c r="I89" s="574" t="s">
        <v>17</v>
      </c>
      <c r="J89" s="576"/>
      <c r="K89" s="563"/>
      <c r="L89" s="491"/>
      <c r="M89" s="491"/>
      <c r="N89" s="491"/>
    </row>
    <row r="90" spans="2:14" ht="72" customHeight="1" thickBot="1" x14ac:dyDescent="0.35">
      <c r="B90" s="561"/>
      <c r="C90" s="561"/>
      <c r="D90" s="573"/>
      <c r="E90" s="600"/>
      <c r="F90" s="576"/>
      <c r="G90" s="575"/>
      <c r="H90" s="575"/>
      <c r="I90" s="575"/>
      <c r="J90" s="576"/>
      <c r="K90" s="564"/>
      <c r="L90" s="491"/>
      <c r="M90" s="491"/>
      <c r="N90" s="491"/>
    </row>
    <row r="91" spans="2:14" ht="22.5" customHeight="1" x14ac:dyDescent="0.3">
      <c r="B91" s="335" t="str">
        <f>+LEFT(C91,4)</f>
        <v>15.1</v>
      </c>
      <c r="C91" s="569" t="s">
        <v>295</v>
      </c>
      <c r="D91" s="317" t="s">
        <v>296</v>
      </c>
      <c r="E91" s="406" t="s">
        <v>703</v>
      </c>
      <c r="F91" s="320">
        <v>3</v>
      </c>
      <c r="G91" s="118">
        <v>1</v>
      </c>
      <c r="H91" s="245" t="s">
        <v>297</v>
      </c>
      <c r="I91" s="329" t="s">
        <v>704</v>
      </c>
      <c r="J91" s="344">
        <v>3</v>
      </c>
      <c r="K91" s="373" t="str">
        <f>+IF(OR(ISBLANK(F91),ISBLANK(J91)),"",IF(OR(AND(F91=1,J91=1),AND(F91=1,J91=2),AND(F91=1,J91=3)),"Deficiencia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357">
        <f>+IF(K91="",231,IF(K91="Deficiencia de control mayor (diseño y ejecución)",240,IF(K91="Deficiencia de control (diseño o ejecución)",260,IF(K91="Oportunidad de mejora",280,300))))</f>
        <v>300</v>
      </c>
      <c r="M91" s="493">
        <v>5.2369000000000003</v>
      </c>
      <c r="N91" s="493">
        <f>+L91+M91</f>
        <v>305.23689999999999</v>
      </c>
    </row>
    <row r="92" spans="2:14" ht="22.5" customHeight="1" x14ac:dyDescent="0.3">
      <c r="B92" s="336"/>
      <c r="C92" s="569"/>
      <c r="D92" s="318"/>
      <c r="E92" s="407"/>
      <c r="F92" s="321"/>
      <c r="G92" s="115">
        <v>2</v>
      </c>
      <c r="H92" s="246" t="s">
        <v>702</v>
      </c>
      <c r="I92" s="330"/>
      <c r="J92" s="345"/>
      <c r="K92" s="374"/>
      <c r="L92" s="357"/>
      <c r="M92" s="493"/>
      <c r="N92" s="493"/>
    </row>
    <row r="93" spans="2:14" ht="22.5" customHeight="1" thickBot="1" x14ac:dyDescent="0.35">
      <c r="B93" s="336"/>
      <c r="C93" s="569"/>
      <c r="D93" s="318"/>
      <c r="E93" s="407"/>
      <c r="F93" s="321"/>
      <c r="G93" s="115">
        <v>3</v>
      </c>
      <c r="H93" s="253" t="s">
        <v>700</v>
      </c>
      <c r="I93" s="330"/>
      <c r="J93" s="345"/>
      <c r="K93" s="374"/>
      <c r="L93" s="357"/>
      <c r="M93" s="493"/>
      <c r="N93" s="493"/>
    </row>
    <row r="94" spans="2:14" ht="42" customHeight="1" x14ac:dyDescent="0.3">
      <c r="B94" s="336"/>
      <c r="C94" s="569"/>
      <c r="D94" s="318"/>
      <c r="E94" s="407"/>
      <c r="F94" s="321"/>
      <c r="G94" s="115">
        <v>4</v>
      </c>
      <c r="H94" s="246" t="s">
        <v>298</v>
      </c>
      <c r="I94" s="330"/>
      <c r="J94" s="345"/>
      <c r="K94" s="374"/>
      <c r="L94" s="357"/>
      <c r="M94" s="493"/>
      <c r="N94" s="493"/>
    </row>
    <row r="95" spans="2:14" ht="22.5" customHeight="1" x14ac:dyDescent="0.3">
      <c r="B95" s="336"/>
      <c r="C95" s="569"/>
      <c r="D95" s="318"/>
      <c r="E95" s="407"/>
      <c r="F95" s="321"/>
      <c r="G95" s="115">
        <v>5</v>
      </c>
      <c r="H95" s="246" t="s">
        <v>701</v>
      </c>
      <c r="I95" s="330"/>
      <c r="J95" s="345"/>
      <c r="K95" s="374"/>
      <c r="L95" s="357"/>
      <c r="M95" s="493"/>
      <c r="N95" s="493"/>
    </row>
    <row r="96" spans="2:14" ht="35.25" customHeight="1" x14ac:dyDescent="0.3">
      <c r="B96" s="336"/>
      <c r="C96" s="569"/>
      <c r="D96" s="318"/>
      <c r="E96" s="407"/>
      <c r="F96" s="321"/>
      <c r="G96" s="115">
        <v>6</v>
      </c>
      <c r="H96" s="246" t="s">
        <v>140</v>
      </c>
      <c r="I96" s="330"/>
      <c r="J96" s="345"/>
      <c r="K96" s="374"/>
      <c r="L96" s="357"/>
      <c r="M96" s="493"/>
      <c r="N96" s="493"/>
    </row>
    <row r="97" spans="2:14" ht="42.75" customHeight="1" x14ac:dyDescent="0.3">
      <c r="B97" s="336"/>
      <c r="C97" s="569"/>
      <c r="D97" s="318"/>
      <c r="E97" s="407"/>
      <c r="F97" s="321"/>
      <c r="G97" s="115">
        <v>7</v>
      </c>
      <c r="H97" s="172" t="s">
        <v>698</v>
      </c>
      <c r="I97" s="330"/>
      <c r="J97" s="345"/>
      <c r="K97" s="374"/>
      <c r="L97" s="357"/>
      <c r="M97" s="493"/>
      <c r="N97" s="493"/>
    </row>
    <row r="98" spans="2:14" ht="22.5" customHeight="1" thickBot="1" x14ac:dyDescent="0.35">
      <c r="B98" s="337"/>
      <c r="C98" s="570"/>
      <c r="D98" s="319"/>
      <c r="E98" s="408"/>
      <c r="F98" s="322"/>
      <c r="G98" s="117">
        <v>8</v>
      </c>
      <c r="H98" s="253"/>
      <c r="I98" s="331"/>
      <c r="J98" s="346"/>
      <c r="K98" s="375"/>
      <c r="L98" s="357"/>
      <c r="M98" s="493"/>
      <c r="N98" s="493"/>
    </row>
    <row r="99" spans="2:14" ht="26.25" customHeight="1" thickBot="1" x14ac:dyDescent="0.35">
      <c r="B99" s="335" t="str">
        <f>+LEFT(C99,4)</f>
        <v>15.2</v>
      </c>
      <c r="C99" s="569" t="s">
        <v>299</v>
      </c>
      <c r="D99" s="317" t="s">
        <v>300</v>
      </c>
      <c r="E99" s="406" t="s">
        <v>705</v>
      </c>
      <c r="F99" s="320">
        <v>3</v>
      </c>
      <c r="G99" s="118">
        <v>1</v>
      </c>
      <c r="H99" s="212" t="s">
        <v>697</v>
      </c>
      <c r="I99" s="329" t="s">
        <v>706</v>
      </c>
      <c r="J99" s="344">
        <v>3</v>
      </c>
      <c r="K99" s="373" t="str">
        <f>+IF(OR(ISBLANK(F99),ISBLANK(J99)),"",IF(OR(AND(F99=1,J99=1),AND(F99=1,J99=2),AND(F99=1,J99=3)),"Deficiencia de control mayor (diseño y ejecución)",IF(OR(AND(F99=2,J99=2),AND(F99=3,J99=1),AND(F99=3,J99=2),AND(F99=2,J99=1)),"Deficiencia de control (diseño o ejecución)",IF(AND(F99=2,J99=3),"Oportunidad de mejora","Mantenimiento del control"))))</f>
        <v>Mantenimiento del control</v>
      </c>
      <c r="L99" s="357">
        <f>+IF(K99="",231,IF(K99="Deficiencia de control mayor (diseño y ejecución)",240,IF(K99="Deficiencia de control (diseño o ejecución)",260,IF(K99="Oportunidad de mejora",280,300))))</f>
        <v>300</v>
      </c>
      <c r="M99" s="493">
        <v>5.3654000000000002</v>
      </c>
      <c r="N99" s="493">
        <f>+L99+M99</f>
        <v>305.36540000000002</v>
      </c>
    </row>
    <row r="100" spans="2:14" ht="26.25" customHeight="1" x14ac:dyDescent="0.3">
      <c r="B100" s="336"/>
      <c r="C100" s="569"/>
      <c r="D100" s="318"/>
      <c r="E100" s="407"/>
      <c r="F100" s="321"/>
      <c r="G100" s="115">
        <v>2</v>
      </c>
      <c r="H100" s="245" t="s">
        <v>298</v>
      </c>
      <c r="I100" s="330"/>
      <c r="J100" s="345"/>
      <c r="K100" s="374"/>
      <c r="L100" s="357"/>
      <c r="M100" s="493"/>
      <c r="N100" s="493"/>
    </row>
    <row r="101" spans="2:14" ht="26.25" customHeight="1" x14ac:dyDescent="0.3">
      <c r="B101" s="336"/>
      <c r="C101" s="569"/>
      <c r="D101" s="318"/>
      <c r="E101" s="407"/>
      <c r="F101" s="321"/>
      <c r="G101" s="115">
        <v>3</v>
      </c>
      <c r="H101" s="246" t="s">
        <v>301</v>
      </c>
      <c r="I101" s="330"/>
      <c r="J101" s="345"/>
      <c r="K101" s="374"/>
      <c r="L101" s="357"/>
      <c r="M101" s="493"/>
      <c r="N101" s="493"/>
    </row>
    <row r="102" spans="2:14" ht="26.25" customHeight="1" x14ac:dyDescent="0.3">
      <c r="B102" s="336"/>
      <c r="C102" s="569"/>
      <c r="D102" s="318"/>
      <c r="E102" s="407"/>
      <c r="F102" s="321"/>
      <c r="G102" s="115">
        <v>4</v>
      </c>
      <c r="H102" s="246" t="s">
        <v>140</v>
      </c>
      <c r="I102" s="330"/>
      <c r="J102" s="345"/>
      <c r="K102" s="374"/>
      <c r="L102" s="357"/>
      <c r="M102" s="493"/>
      <c r="N102" s="493"/>
    </row>
    <row r="103" spans="2:14" ht="34.5" customHeight="1" x14ac:dyDescent="0.3">
      <c r="B103" s="336"/>
      <c r="C103" s="569"/>
      <c r="D103" s="318"/>
      <c r="E103" s="407"/>
      <c r="F103" s="321"/>
      <c r="G103" s="115">
        <v>5</v>
      </c>
      <c r="H103" s="172" t="s">
        <v>698</v>
      </c>
      <c r="I103" s="330"/>
      <c r="J103" s="345"/>
      <c r="K103" s="374"/>
      <c r="L103" s="357"/>
      <c r="M103" s="493"/>
      <c r="N103" s="493"/>
    </row>
    <row r="104" spans="2:14" ht="26.25" customHeight="1" x14ac:dyDescent="0.3">
      <c r="B104" s="336"/>
      <c r="C104" s="569"/>
      <c r="D104" s="318"/>
      <c r="E104" s="407"/>
      <c r="F104" s="321"/>
      <c r="G104" s="115">
        <v>6</v>
      </c>
      <c r="H104" s="115"/>
      <c r="I104" s="330"/>
      <c r="J104" s="345"/>
      <c r="K104" s="374"/>
      <c r="L104" s="357"/>
      <c r="M104" s="493"/>
      <c r="N104" s="493"/>
    </row>
    <row r="105" spans="2:14" ht="26.25" customHeight="1" x14ac:dyDescent="0.3">
      <c r="B105" s="336"/>
      <c r="C105" s="569"/>
      <c r="D105" s="318"/>
      <c r="E105" s="407"/>
      <c r="F105" s="321"/>
      <c r="G105" s="115">
        <v>7</v>
      </c>
      <c r="H105" s="115"/>
      <c r="I105" s="330"/>
      <c r="J105" s="345"/>
      <c r="K105" s="374"/>
      <c r="L105" s="357"/>
      <c r="M105" s="493"/>
      <c r="N105" s="493"/>
    </row>
    <row r="106" spans="2:14" ht="26.25" customHeight="1" thickBot="1" x14ac:dyDescent="0.35">
      <c r="B106" s="337"/>
      <c r="C106" s="569"/>
      <c r="D106" s="319"/>
      <c r="E106" s="408"/>
      <c r="F106" s="322"/>
      <c r="G106" s="117">
        <v>8</v>
      </c>
      <c r="H106" s="117"/>
      <c r="I106" s="331"/>
      <c r="J106" s="346"/>
      <c r="K106" s="375"/>
      <c r="L106" s="357"/>
      <c r="M106" s="493"/>
      <c r="N106" s="493"/>
    </row>
    <row r="107" spans="2:14" ht="30" customHeight="1" x14ac:dyDescent="0.3">
      <c r="B107" s="335" t="str">
        <f>+LEFT(C107,4)</f>
        <v>15.3</v>
      </c>
      <c r="C107" s="568" t="s">
        <v>302</v>
      </c>
      <c r="D107" s="317" t="s">
        <v>303</v>
      </c>
      <c r="E107" s="406" t="s">
        <v>709</v>
      </c>
      <c r="F107" s="320">
        <v>3</v>
      </c>
      <c r="G107" s="118">
        <v>1</v>
      </c>
      <c r="H107" s="245" t="s">
        <v>301</v>
      </c>
      <c r="I107" s="329" t="s">
        <v>707</v>
      </c>
      <c r="J107" s="344">
        <v>3</v>
      </c>
      <c r="K107" s="373" t="str">
        <f>+IF(OR(ISBLANK(F107),ISBLANK(J107)),"",IF(OR(AND(F107=1,J107=1),AND(F107=1,J107=2),AND(F107=1,J107=3)),"Deficiencia de control mayor (diseño y ejecución)",IF(OR(AND(F107=2,J107=2),AND(F107=3,J107=1),AND(F107=3,J107=2),AND(F107=2,J107=1)),"Deficiencia de control (diseño o ejecución)",IF(AND(F107=2,J107=3),"Oportunidad de mejora","Mantenimiento del control"))))</f>
        <v>Mantenimiento del control</v>
      </c>
      <c r="L107" s="357">
        <f>+IF(K107="",231,IF(K107="Deficiencia de control mayor (diseño y ejecución)",240,IF(K107="Deficiencia de control (diseño o ejecución)",260,IF(K107="Oportunidad de mejora",280,300))))</f>
        <v>300</v>
      </c>
      <c r="M107" s="493">
        <v>5.4562999999999997</v>
      </c>
      <c r="N107" s="493">
        <f>+L107+M107</f>
        <v>305.4563</v>
      </c>
    </row>
    <row r="108" spans="2:14" ht="30" customHeight="1" x14ac:dyDescent="0.3">
      <c r="B108" s="336"/>
      <c r="C108" s="569"/>
      <c r="D108" s="318"/>
      <c r="E108" s="407"/>
      <c r="F108" s="321"/>
      <c r="G108" s="115">
        <v>2</v>
      </c>
      <c r="H108" s="246" t="s">
        <v>298</v>
      </c>
      <c r="I108" s="330"/>
      <c r="J108" s="345"/>
      <c r="K108" s="374"/>
      <c r="L108" s="357"/>
      <c r="M108" s="493"/>
      <c r="N108" s="493"/>
    </row>
    <row r="109" spans="2:14" ht="30" customHeight="1" x14ac:dyDescent="0.3">
      <c r="B109" s="336"/>
      <c r="C109" s="569"/>
      <c r="D109" s="318"/>
      <c r="E109" s="407"/>
      <c r="F109" s="321"/>
      <c r="G109" s="115">
        <v>3</v>
      </c>
      <c r="H109" s="246" t="s">
        <v>297</v>
      </c>
      <c r="I109" s="330"/>
      <c r="J109" s="345"/>
      <c r="K109" s="374"/>
      <c r="L109" s="357"/>
      <c r="M109" s="493"/>
      <c r="N109" s="493"/>
    </row>
    <row r="110" spans="2:14" ht="30" customHeight="1" x14ac:dyDescent="0.3">
      <c r="B110" s="336"/>
      <c r="C110" s="569"/>
      <c r="D110" s="318"/>
      <c r="E110" s="407"/>
      <c r="F110" s="321"/>
      <c r="G110" s="115">
        <v>4</v>
      </c>
      <c r="H110" s="243" t="s">
        <v>708</v>
      </c>
      <c r="I110" s="330"/>
      <c r="J110" s="345"/>
      <c r="K110" s="374"/>
      <c r="L110" s="357"/>
      <c r="M110" s="493"/>
      <c r="N110" s="493"/>
    </row>
    <row r="111" spans="2:14" ht="40.5" customHeight="1" x14ac:dyDescent="0.3">
      <c r="B111" s="336"/>
      <c r="C111" s="569"/>
      <c r="D111" s="318"/>
      <c r="E111" s="407"/>
      <c r="F111" s="321"/>
      <c r="G111" s="115">
        <v>5</v>
      </c>
      <c r="H111" s="243" t="s">
        <v>140</v>
      </c>
      <c r="I111" s="330"/>
      <c r="J111" s="345"/>
      <c r="K111" s="374"/>
      <c r="L111" s="357"/>
      <c r="M111" s="493"/>
      <c r="N111" s="493"/>
    </row>
    <row r="112" spans="2:14" ht="30" customHeight="1" x14ac:dyDescent="0.3">
      <c r="B112" s="336"/>
      <c r="C112" s="569"/>
      <c r="D112" s="318"/>
      <c r="E112" s="407"/>
      <c r="F112" s="321"/>
      <c r="G112" s="115">
        <v>6</v>
      </c>
      <c r="H112" s="212"/>
      <c r="I112" s="330"/>
      <c r="J112" s="345"/>
      <c r="K112" s="374"/>
      <c r="L112" s="357"/>
      <c r="M112" s="493"/>
      <c r="N112" s="493"/>
    </row>
    <row r="113" spans="2:14" ht="30" customHeight="1" x14ac:dyDescent="0.3">
      <c r="B113" s="336"/>
      <c r="C113" s="569"/>
      <c r="D113" s="318"/>
      <c r="E113" s="407"/>
      <c r="F113" s="321"/>
      <c r="G113" s="115">
        <v>7</v>
      </c>
      <c r="H113" s="115"/>
      <c r="I113" s="330"/>
      <c r="J113" s="345"/>
      <c r="K113" s="374"/>
      <c r="L113" s="357"/>
      <c r="M113" s="493"/>
      <c r="N113" s="493"/>
    </row>
    <row r="114" spans="2:14" ht="66.75" customHeight="1" thickBot="1" x14ac:dyDescent="0.35">
      <c r="B114" s="337"/>
      <c r="C114" s="570"/>
      <c r="D114" s="319"/>
      <c r="E114" s="408"/>
      <c r="F114" s="322"/>
      <c r="G114" s="117">
        <v>8</v>
      </c>
      <c r="H114" s="117"/>
      <c r="I114" s="331"/>
      <c r="J114" s="346"/>
      <c r="K114" s="375"/>
      <c r="L114" s="357"/>
      <c r="M114" s="493"/>
      <c r="N114" s="493"/>
    </row>
    <row r="115" spans="2:14" ht="30" customHeight="1" x14ac:dyDescent="0.3">
      <c r="B115" s="335" t="str">
        <f>+LEFT(C115,4)</f>
        <v>15.4</v>
      </c>
      <c r="C115" s="577" t="s">
        <v>304</v>
      </c>
      <c r="D115" s="317" t="s">
        <v>305</v>
      </c>
      <c r="E115" s="406" t="s">
        <v>712</v>
      </c>
      <c r="F115" s="320">
        <v>3</v>
      </c>
      <c r="G115" s="118">
        <v>1</v>
      </c>
      <c r="H115" s="242" t="s">
        <v>711</v>
      </c>
      <c r="I115" s="329" t="s">
        <v>710</v>
      </c>
      <c r="J115" s="344">
        <v>3</v>
      </c>
      <c r="K115" s="373" t="str">
        <f>+IF(OR(ISBLANK(F115),ISBLANK(J115)),"",IF(OR(AND(F115=1,J115=1),AND(F115=1,J115=2),AND(F115=1,J115=3)),"Deficiencia de control mayor (diseño y ejecución)",IF(OR(AND(F115=2,J115=2),AND(F115=3,J115=1),AND(F115=3,J115=2),AND(F115=2,J115=1)),"Deficiencia de control (diseño o ejecución)",IF(AND(F115=2,J115=3),"Oportunidad de mejora","Mantenimiento del control"))))</f>
        <v>Mantenimiento del control</v>
      </c>
      <c r="L115" s="357">
        <f>+IF(K115="",231,IF(K115="Deficiencia de control mayor (diseño y ejecución)",240,IF(K115="Deficiencia de control (diseño o ejecución)",260,IF(K115="Oportunidad de mejora",280,300))))</f>
        <v>300</v>
      </c>
      <c r="M115" s="493">
        <v>5.5632000000000001</v>
      </c>
      <c r="N115" s="493">
        <f>+L115+M115</f>
        <v>305.56319999999999</v>
      </c>
    </row>
    <row r="116" spans="2:14" ht="30" customHeight="1" x14ac:dyDescent="0.3">
      <c r="B116" s="336"/>
      <c r="C116" s="569"/>
      <c r="D116" s="318"/>
      <c r="E116" s="407"/>
      <c r="F116" s="321"/>
      <c r="G116" s="115">
        <v>2</v>
      </c>
      <c r="H116" s="243" t="s">
        <v>713</v>
      </c>
      <c r="I116" s="330"/>
      <c r="J116" s="345"/>
      <c r="K116" s="374"/>
      <c r="L116" s="357"/>
      <c r="M116" s="493"/>
      <c r="N116" s="493"/>
    </row>
    <row r="117" spans="2:14" ht="38.25" customHeight="1" x14ac:dyDescent="0.3">
      <c r="B117" s="336"/>
      <c r="C117" s="569"/>
      <c r="D117" s="318"/>
      <c r="E117" s="407"/>
      <c r="F117" s="321"/>
      <c r="G117" s="115">
        <v>3</v>
      </c>
      <c r="H117" s="243" t="s">
        <v>714</v>
      </c>
      <c r="I117" s="330"/>
      <c r="J117" s="345"/>
      <c r="K117" s="374"/>
      <c r="L117" s="357"/>
      <c r="M117" s="493"/>
      <c r="N117" s="493"/>
    </row>
    <row r="118" spans="2:14" ht="31.5" customHeight="1" x14ac:dyDescent="0.3">
      <c r="B118" s="336"/>
      <c r="C118" s="569"/>
      <c r="D118" s="318"/>
      <c r="E118" s="407"/>
      <c r="F118" s="321"/>
      <c r="G118" s="115">
        <v>4</v>
      </c>
      <c r="H118" s="165"/>
      <c r="I118" s="330"/>
      <c r="J118" s="345"/>
      <c r="K118" s="374"/>
      <c r="L118" s="357"/>
      <c r="M118" s="493"/>
      <c r="N118" s="493"/>
    </row>
    <row r="119" spans="2:14" ht="30" customHeight="1" x14ac:dyDescent="0.3">
      <c r="B119" s="336"/>
      <c r="C119" s="569"/>
      <c r="D119" s="318"/>
      <c r="E119" s="407"/>
      <c r="F119" s="321"/>
      <c r="G119" s="115">
        <v>5</v>
      </c>
      <c r="H119" s="115"/>
      <c r="I119" s="330"/>
      <c r="J119" s="345"/>
      <c r="K119" s="374"/>
      <c r="L119" s="357"/>
      <c r="M119" s="493"/>
      <c r="N119" s="493"/>
    </row>
    <row r="120" spans="2:14" ht="30" customHeight="1" x14ac:dyDescent="0.3">
      <c r="B120" s="336"/>
      <c r="C120" s="569"/>
      <c r="D120" s="318"/>
      <c r="E120" s="407"/>
      <c r="F120" s="321"/>
      <c r="G120" s="115">
        <v>6</v>
      </c>
      <c r="H120" s="115"/>
      <c r="I120" s="330"/>
      <c r="J120" s="345"/>
      <c r="K120" s="374"/>
      <c r="L120" s="357"/>
      <c r="M120" s="493"/>
      <c r="N120" s="493"/>
    </row>
    <row r="121" spans="2:14" ht="30" customHeight="1" x14ac:dyDescent="0.3">
      <c r="B121" s="336"/>
      <c r="C121" s="569"/>
      <c r="D121" s="318"/>
      <c r="E121" s="407"/>
      <c r="F121" s="321"/>
      <c r="G121" s="115">
        <v>7</v>
      </c>
      <c r="H121" s="115"/>
      <c r="I121" s="330"/>
      <c r="J121" s="345"/>
      <c r="K121" s="374"/>
      <c r="L121" s="357"/>
      <c r="M121" s="493"/>
      <c r="N121" s="493"/>
    </row>
    <row r="122" spans="2:14" ht="30" customHeight="1" thickBot="1" x14ac:dyDescent="0.35">
      <c r="B122" s="337"/>
      <c r="C122" s="569"/>
      <c r="D122" s="319"/>
      <c r="E122" s="408"/>
      <c r="F122" s="322"/>
      <c r="G122" s="117">
        <v>8</v>
      </c>
      <c r="H122" s="117"/>
      <c r="I122" s="331"/>
      <c r="J122" s="346"/>
      <c r="K122" s="375"/>
      <c r="L122" s="357"/>
      <c r="M122" s="493"/>
      <c r="N122" s="493"/>
    </row>
    <row r="123" spans="2:14" ht="30" customHeight="1" x14ac:dyDescent="0.3">
      <c r="B123" s="335" t="str">
        <f>+LEFT(C123,4)</f>
        <v>15.5</v>
      </c>
      <c r="C123" s="569" t="s">
        <v>306</v>
      </c>
      <c r="D123" s="317" t="s">
        <v>307</v>
      </c>
      <c r="E123" s="406" t="s">
        <v>751</v>
      </c>
      <c r="F123" s="320">
        <v>3</v>
      </c>
      <c r="G123" s="118">
        <v>1</v>
      </c>
      <c r="H123" s="242" t="s">
        <v>715</v>
      </c>
      <c r="I123" s="329" t="s">
        <v>716</v>
      </c>
      <c r="J123" s="344">
        <v>3</v>
      </c>
      <c r="K123" s="373" t="str">
        <f>+IF(OR(ISBLANK(F123),ISBLANK(J123)),"",IF(OR(AND(F123=1,J123=1),AND(F123=1,J123=2),AND(F123=1,J123=3)),"Deficiencia de control mayor (diseño y ejecución)",IF(OR(AND(F123=2,J123=2),AND(F123=3,J123=1),AND(F123=3,J123=2),AND(F123=2,J123=1)),"Deficiencia de control (diseño o ejecución)",IF(AND(F123=2,J123=3),"Oportunidad de mejora","Mantenimiento del control"))))</f>
        <v>Mantenimiento del control</v>
      </c>
      <c r="L123" s="357">
        <f>+IF(K123="",231,IF(K123="Deficiencia de control mayor (diseño y ejecución)",240,IF(K123="Deficiencia de control (diseño o ejecución)",260,IF(K123="Oportunidad de mejora",280,300))))</f>
        <v>300</v>
      </c>
      <c r="M123" s="493">
        <v>5.6321000000000003</v>
      </c>
      <c r="N123" s="493">
        <f>+L123+M123</f>
        <v>305.63209999999998</v>
      </c>
    </row>
    <row r="124" spans="2:14" ht="30" customHeight="1" x14ac:dyDescent="0.3">
      <c r="B124" s="336"/>
      <c r="C124" s="569"/>
      <c r="D124" s="318"/>
      <c r="E124" s="407"/>
      <c r="F124" s="321"/>
      <c r="G124" s="115">
        <v>2</v>
      </c>
      <c r="H124" s="115"/>
      <c r="I124" s="330"/>
      <c r="J124" s="345"/>
      <c r="K124" s="374"/>
      <c r="L124" s="357"/>
      <c r="M124" s="493"/>
      <c r="N124" s="493"/>
    </row>
    <row r="125" spans="2:14" ht="30" customHeight="1" x14ac:dyDescent="0.3">
      <c r="B125" s="336"/>
      <c r="C125" s="569"/>
      <c r="D125" s="318"/>
      <c r="E125" s="407"/>
      <c r="F125" s="321"/>
      <c r="G125" s="115">
        <v>3</v>
      </c>
      <c r="H125" s="115"/>
      <c r="I125" s="330"/>
      <c r="J125" s="345"/>
      <c r="K125" s="374"/>
      <c r="L125" s="357"/>
      <c r="M125" s="493"/>
      <c r="N125" s="493"/>
    </row>
    <row r="126" spans="2:14" ht="30" customHeight="1" x14ac:dyDescent="0.3">
      <c r="B126" s="336"/>
      <c r="C126" s="569"/>
      <c r="D126" s="318"/>
      <c r="E126" s="407"/>
      <c r="F126" s="321"/>
      <c r="G126" s="115">
        <v>4</v>
      </c>
      <c r="H126" s="115"/>
      <c r="I126" s="330"/>
      <c r="J126" s="345"/>
      <c r="K126" s="374"/>
      <c r="L126" s="357"/>
      <c r="M126" s="493"/>
      <c r="N126" s="493"/>
    </row>
    <row r="127" spans="2:14" ht="30" customHeight="1" x14ac:dyDescent="0.3">
      <c r="B127" s="336"/>
      <c r="C127" s="569"/>
      <c r="D127" s="318"/>
      <c r="E127" s="407"/>
      <c r="F127" s="321"/>
      <c r="G127" s="115">
        <v>5</v>
      </c>
      <c r="H127" s="115"/>
      <c r="I127" s="330"/>
      <c r="J127" s="345"/>
      <c r="K127" s="374"/>
      <c r="L127" s="357"/>
      <c r="M127" s="493"/>
      <c r="N127" s="493"/>
    </row>
    <row r="128" spans="2:14" ht="30" customHeight="1" x14ac:dyDescent="0.3">
      <c r="B128" s="336"/>
      <c r="C128" s="569"/>
      <c r="D128" s="318"/>
      <c r="E128" s="407"/>
      <c r="F128" s="321"/>
      <c r="G128" s="115">
        <v>6</v>
      </c>
      <c r="H128" s="115"/>
      <c r="I128" s="330"/>
      <c r="J128" s="345"/>
      <c r="K128" s="374"/>
      <c r="L128" s="357"/>
      <c r="M128" s="493"/>
      <c r="N128" s="493"/>
    </row>
    <row r="129" spans="2:14" ht="30" customHeight="1" x14ac:dyDescent="0.3">
      <c r="B129" s="336"/>
      <c r="C129" s="569"/>
      <c r="D129" s="318"/>
      <c r="E129" s="407"/>
      <c r="F129" s="321"/>
      <c r="G129" s="115">
        <v>7</v>
      </c>
      <c r="H129" s="115"/>
      <c r="I129" s="330"/>
      <c r="J129" s="345"/>
      <c r="K129" s="374"/>
      <c r="L129" s="357"/>
      <c r="M129" s="493"/>
      <c r="N129" s="493"/>
    </row>
    <row r="130" spans="2:14" ht="30" customHeight="1" thickBot="1" x14ac:dyDescent="0.35">
      <c r="B130" s="337"/>
      <c r="C130" s="569"/>
      <c r="D130" s="319"/>
      <c r="E130" s="408"/>
      <c r="F130" s="322"/>
      <c r="G130" s="117">
        <v>8</v>
      </c>
      <c r="H130" s="117"/>
      <c r="I130" s="331"/>
      <c r="J130" s="346"/>
      <c r="K130" s="375"/>
      <c r="L130" s="357"/>
      <c r="M130" s="493"/>
      <c r="N130" s="493"/>
    </row>
    <row r="131" spans="2:14" ht="30" customHeight="1" x14ac:dyDescent="0.3">
      <c r="B131" s="335" t="str">
        <f>+LEFT(C131,4)</f>
        <v>15.6</v>
      </c>
      <c r="C131" s="569" t="s">
        <v>308</v>
      </c>
      <c r="D131" s="579" t="s">
        <v>307</v>
      </c>
      <c r="E131" s="594" t="s">
        <v>309</v>
      </c>
      <c r="F131" s="320">
        <v>3</v>
      </c>
      <c r="G131" s="118">
        <v>1</v>
      </c>
      <c r="H131" s="250" t="s">
        <v>282</v>
      </c>
      <c r="I131" s="329" t="s">
        <v>717</v>
      </c>
      <c r="J131" s="344">
        <v>3</v>
      </c>
      <c r="K131" s="373" t="str">
        <f>+IF(OR(ISBLANK(F131),ISBLANK(J131)),"",IF(OR(AND(F131=1,J131=1),AND(F131=1,J131=2),AND(F131=1,J131=3)),"Deficiencia de control mayor (diseño y ejecución)",IF(OR(AND(F131=2,J131=2),AND(F131=3,J131=1),AND(F131=3,J131=2),AND(F131=2,J131=1)),"Deficiencia de control (diseño o ejecución)",IF(AND(F131=2,J131=3),"Oportunidad de mejora","Mantenimiento del control"))))</f>
        <v>Mantenimiento del control</v>
      </c>
      <c r="L131" s="357">
        <f>+IF(K131="",231,IF(K131="Deficiencia de control mayor (diseño y ejecución)",240,IF(K131="Deficiencia de control (diseño o ejecución)",260,IF(K131="Oportunidad de mejora",280,300))))</f>
        <v>300</v>
      </c>
      <c r="M131" s="493">
        <v>5.7896000000000001</v>
      </c>
      <c r="N131" s="493">
        <f>+L131+M131</f>
        <v>305.78960000000001</v>
      </c>
    </row>
    <row r="132" spans="2:14" ht="30" customHeight="1" x14ac:dyDescent="0.3">
      <c r="B132" s="336"/>
      <c r="C132" s="569"/>
      <c r="D132" s="580"/>
      <c r="E132" s="595"/>
      <c r="F132" s="321"/>
      <c r="G132" s="115">
        <v>2</v>
      </c>
      <c r="H132" s="249" t="s">
        <v>713</v>
      </c>
      <c r="I132" s="330"/>
      <c r="J132" s="345"/>
      <c r="K132" s="374"/>
      <c r="L132" s="357"/>
      <c r="M132" s="493"/>
      <c r="N132" s="493"/>
    </row>
    <row r="133" spans="2:14" ht="30" customHeight="1" x14ac:dyDescent="0.3">
      <c r="B133" s="336"/>
      <c r="C133" s="569"/>
      <c r="D133" s="580"/>
      <c r="E133" s="595"/>
      <c r="F133" s="321"/>
      <c r="G133" s="115">
        <v>3</v>
      </c>
      <c r="H133" s="115"/>
      <c r="I133" s="330"/>
      <c r="J133" s="345"/>
      <c r="K133" s="374"/>
      <c r="L133" s="357"/>
      <c r="M133" s="493"/>
      <c r="N133" s="493"/>
    </row>
    <row r="134" spans="2:14" ht="30" customHeight="1" x14ac:dyDescent="0.3">
      <c r="B134" s="336"/>
      <c r="C134" s="569"/>
      <c r="D134" s="580"/>
      <c r="E134" s="595"/>
      <c r="F134" s="321"/>
      <c r="G134" s="115">
        <v>4</v>
      </c>
      <c r="H134" s="115"/>
      <c r="I134" s="330"/>
      <c r="J134" s="345"/>
      <c r="K134" s="374"/>
      <c r="L134" s="357"/>
      <c r="M134" s="493"/>
      <c r="N134" s="493"/>
    </row>
    <row r="135" spans="2:14" ht="30" customHeight="1" x14ac:dyDescent="0.3">
      <c r="B135" s="336"/>
      <c r="C135" s="569"/>
      <c r="D135" s="580"/>
      <c r="E135" s="595"/>
      <c r="F135" s="321"/>
      <c r="G135" s="115">
        <v>5</v>
      </c>
      <c r="H135" s="115"/>
      <c r="I135" s="330"/>
      <c r="J135" s="345"/>
      <c r="K135" s="374"/>
      <c r="L135" s="357"/>
      <c r="M135" s="493"/>
      <c r="N135" s="493"/>
    </row>
    <row r="136" spans="2:14" ht="30" customHeight="1" x14ac:dyDescent="0.3">
      <c r="B136" s="336"/>
      <c r="C136" s="569"/>
      <c r="D136" s="580"/>
      <c r="E136" s="595"/>
      <c r="F136" s="321"/>
      <c r="G136" s="115">
        <v>6</v>
      </c>
      <c r="H136" s="115"/>
      <c r="I136" s="330"/>
      <c r="J136" s="345"/>
      <c r="K136" s="374"/>
      <c r="L136" s="357"/>
      <c r="M136" s="493"/>
      <c r="N136" s="493"/>
    </row>
    <row r="137" spans="2:14" ht="30" customHeight="1" x14ac:dyDescent="0.3">
      <c r="B137" s="336"/>
      <c r="C137" s="569"/>
      <c r="D137" s="580"/>
      <c r="E137" s="595"/>
      <c r="F137" s="321"/>
      <c r="G137" s="115">
        <v>7</v>
      </c>
      <c r="H137" s="115"/>
      <c r="I137" s="330"/>
      <c r="J137" s="345"/>
      <c r="K137" s="374"/>
      <c r="L137" s="357"/>
      <c r="M137" s="493"/>
      <c r="N137" s="493"/>
    </row>
    <row r="138" spans="2:14" ht="30" customHeight="1" thickBot="1" x14ac:dyDescent="0.35">
      <c r="B138" s="337"/>
      <c r="C138" s="569"/>
      <c r="D138" s="581"/>
      <c r="E138" s="596"/>
      <c r="F138" s="322"/>
      <c r="G138" s="117">
        <v>8</v>
      </c>
      <c r="H138" s="117"/>
      <c r="I138" s="331"/>
      <c r="J138" s="346"/>
      <c r="K138" s="375"/>
      <c r="L138" s="357"/>
      <c r="M138" s="493"/>
      <c r="N138" s="493"/>
    </row>
  </sheetData>
  <sheetProtection password="D72A" sheet="1" objects="1" scenarios="1" formatCells="0" formatColumns="0" formatRows="0"/>
  <autoFilter ref="C1:C138"/>
  <mergeCells count="199">
    <mergeCell ref="I91:I98"/>
    <mergeCell ref="I99:I106"/>
    <mergeCell ref="I107:I114"/>
    <mergeCell ref="I115:I122"/>
    <mergeCell ref="I123:I130"/>
    <mergeCell ref="I131:I138"/>
    <mergeCell ref="H89:H90"/>
    <mergeCell ref="I19:I26"/>
    <mergeCell ref="I27:I34"/>
    <mergeCell ref="I35:I42"/>
    <mergeCell ref="I43:I50"/>
    <mergeCell ref="I55:I62"/>
    <mergeCell ref="I63:I70"/>
    <mergeCell ref="I71:I78"/>
    <mergeCell ref="I79:I86"/>
    <mergeCell ref="M131:M138"/>
    <mergeCell ref="N15:N18"/>
    <mergeCell ref="N19:N26"/>
    <mergeCell ref="N27:N34"/>
    <mergeCell ref="N35:N42"/>
    <mergeCell ref="N43:N50"/>
    <mergeCell ref="N51:N54"/>
    <mergeCell ref="N55:N62"/>
    <mergeCell ref="N63:N70"/>
    <mergeCell ref="N71:N78"/>
    <mergeCell ref="N79:N86"/>
    <mergeCell ref="N87:N90"/>
    <mergeCell ref="N91:N98"/>
    <mergeCell ref="N99:N106"/>
    <mergeCell ref="N107:N114"/>
    <mergeCell ref="N115:N122"/>
    <mergeCell ref="N123:N130"/>
    <mergeCell ref="N131:N138"/>
    <mergeCell ref="L79:L86"/>
    <mergeCell ref="L87:L90"/>
    <mergeCell ref="L91:L98"/>
    <mergeCell ref="L99:L106"/>
    <mergeCell ref="L107:L114"/>
    <mergeCell ref="L115:L122"/>
    <mergeCell ref="L123:L130"/>
    <mergeCell ref="L131:L138"/>
    <mergeCell ref="M15:M18"/>
    <mergeCell ref="M19:M26"/>
    <mergeCell ref="M27:M34"/>
    <mergeCell ref="M35:M42"/>
    <mergeCell ref="M43:M50"/>
    <mergeCell ref="M51:M54"/>
    <mergeCell ref="M55:M62"/>
    <mergeCell ref="M63:M70"/>
    <mergeCell ref="M71:M78"/>
    <mergeCell ref="M79:M86"/>
    <mergeCell ref="M87:M90"/>
    <mergeCell ref="M91:M98"/>
    <mergeCell ref="M99:M106"/>
    <mergeCell ref="M107:M114"/>
    <mergeCell ref="M115:M122"/>
    <mergeCell ref="M123:M130"/>
    <mergeCell ref="L15:L18"/>
    <mergeCell ref="L19:L26"/>
    <mergeCell ref="L27:L34"/>
    <mergeCell ref="L35:L42"/>
    <mergeCell ref="L43:L50"/>
    <mergeCell ref="L51:L54"/>
    <mergeCell ref="L55:L62"/>
    <mergeCell ref="L63:L70"/>
    <mergeCell ref="L71:L78"/>
    <mergeCell ref="A43:A44"/>
    <mergeCell ref="C87:C90"/>
    <mergeCell ref="E63:E70"/>
    <mergeCell ref="E79:E86"/>
    <mergeCell ref="F63:F70"/>
    <mergeCell ref="F79:F86"/>
    <mergeCell ref="F43:F50"/>
    <mergeCell ref="D43:D50"/>
    <mergeCell ref="D63:D70"/>
    <mergeCell ref="D79:D86"/>
    <mergeCell ref="C79:C86"/>
    <mergeCell ref="F55:F62"/>
    <mergeCell ref="D51:D54"/>
    <mergeCell ref="D87:D90"/>
    <mergeCell ref="C51:C54"/>
    <mergeCell ref="D55:D62"/>
    <mergeCell ref="E51:E54"/>
    <mergeCell ref="E87:E90"/>
    <mergeCell ref="F87:F90"/>
    <mergeCell ref="B79:B86"/>
    <mergeCell ref="B87:B90"/>
    <mergeCell ref="D131:D138"/>
    <mergeCell ref="C91:C98"/>
    <mergeCell ref="E91:E98"/>
    <mergeCell ref="F15:F18"/>
    <mergeCell ref="F19:F26"/>
    <mergeCell ref="F27:F34"/>
    <mergeCell ref="D19:D26"/>
    <mergeCell ref="D27:D34"/>
    <mergeCell ref="D15:D18"/>
    <mergeCell ref="C71:C78"/>
    <mergeCell ref="D71:D78"/>
    <mergeCell ref="E71:E78"/>
    <mergeCell ref="F71:F78"/>
    <mergeCell ref="E55:E62"/>
    <mergeCell ref="C63:C70"/>
    <mergeCell ref="C55:C62"/>
    <mergeCell ref="E15:E18"/>
    <mergeCell ref="C99:C106"/>
    <mergeCell ref="E99:E106"/>
    <mergeCell ref="C131:C138"/>
    <mergeCell ref="F131:F138"/>
    <mergeCell ref="F91:F98"/>
    <mergeCell ref="F99:F106"/>
    <mergeCell ref="E131:E138"/>
    <mergeCell ref="J131:J138"/>
    <mergeCell ref="I17:I18"/>
    <mergeCell ref="I53:I54"/>
    <mergeCell ref="I89:I90"/>
    <mergeCell ref="J15:J18"/>
    <mergeCell ref="J19:J26"/>
    <mergeCell ref="J27:J34"/>
    <mergeCell ref="J43:J50"/>
    <mergeCell ref="J51:J54"/>
    <mergeCell ref="J55:J62"/>
    <mergeCell ref="J63:J70"/>
    <mergeCell ref="J79:J86"/>
    <mergeCell ref="J87:J90"/>
    <mergeCell ref="J91:J98"/>
    <mergeCell ref="J99:J106"/>
    <mergeCell ref="J107:J114"/>
    <mergeCell ref="J115:J122"/>
    <mergeCell ref="J123:J130"/>
    <mergeCell ref="G51:I52"/>
    <mergeCell ref="G15:I16"/>
    <mergeCell ref="G87:I88"/>
    <mergeCell ref="G53:G54"/>
    <mergeCell ref="G89:G90"/>
    <mergeCell ref="J71:J78"/>
    <mergeCell ref="F123:F130"/>
    <mergeCell ref="F115:F122"/>
    <mergeCell ref="D91:D98"/>
    <mergeCell ref="D99:D106"/>
    <mergeCell ref="E123:E130"/>
    <mergeCell ref="F107:F114"/>
    <mergeCell ref="F51:F54"/>
    <mergeCell ref="C43:C50"/>
    <mergeCell ref="E43:E50"/>
    <mergeCell ref="C115:C122"/>
    <mergeCell ref="E115:E122"/>
    <mergeCell ref="C107:C114"/>
    <mergeCell ref="C123:C130"/>
    <mergeCell ref="E107:E114"/>
    <mergeCell ref="D107:D114"/>
    <mergeCell ref="D115:D122"/>
    <mergeCell ref="D123:D130"/>
    <mergeCell ref="K35:K42"/>
    <mergeCell ref="K43:K50"/>
    <mergeCell ref="K51:K54"/>
    <mergeCell ref="K55:K62"/>
    <mergeCell ref="K63:K70"/>
    <mergeCell ref="K15:K18"/>
    <mergeCell ref="C12:K12"/>
    <mergeCell ref="C13:K13"/>
    <mergeCell ref="K19:K26"/>
    <mergeCell ref="K27:K34"/>
    <mergeCell ref="C27:C34"/>
    <mergeCell ref="E27:E34"/>
    <mergeCell ref="G17:G18"/>
    <mergeCell ref="C15:C18"/>
    <mergeCell ref="C19:C26"/>
    <mergeCell ref="E19:E26"/>
    <mergeCell ref="C35:C42"/>
    <mergeCell ref="D35:D42"/>
    <mergeCell ref="E35:E42"/>
    <mergeCell ref="F35:F42"/>
    <mergeCell ref="J35:J42"/>
    <mergeCell ref="H17:H18"/>
    <mergeCell ref="H53:H54"/>
    <mergeCell ref="K107:K114"/>
    <mergeCell ref="K115:K122"/>
    <mergeCell ref="K123:K130"/>
    <mergeCell ref="K131:K138"/>
    <mergeCell ref="K71:K78"/>
    <mergeCell ref="K79:K86"/>
    <mergeCell ref="K87:K90"/>
    <mergeCell ref="K91:K98"/>
    <mergeCell ref="K99:K106"/>
    <mergeCell ref="B91:B98"/>
    <mergeCell ref="B99:B106"/>
    <mergeCell ref="B107:B114"/>
    <mergeCell ref="B115:B122"/>
    <mergeCell ref="B123:B130"/>
    <mergeCell ref="B131:B138"/>
    <mergeCell ref="B15:B18"/>
    <mergeCell ref="B19:B26"/>
    <mergeCell ref="B27:B34"/>
    <mergeCell ref="B35:B42"/>
    <mergeCell ref="B43:B50"/>
    <mergeCell ref="B51:B54"/>
    <mergeCell ref="B55:B62"/>
    <mergeCell ref="B63:B70"/>
    <mergeCell ref="B71:B78"/>
  </mergeCells>
  <dataValidations count="1">
    <dataValidation type="list" allowBlank="1" showInputMessage="1" showErrorMessage="1" sqref="J91:J138 J55:J86 F19:F50 J19:J50 F91:F138 F55:F86">
      <formula1>"1,2,3"</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62F13"/>
  </sheetPr>
  <dimension ref="B1:N134"/>
  <sheetViews>
    <sheetView showGridLines="0" topLeftCell="A67" zoomScale="80" zoomScaleNormal="80" workbookViewId="0">
      <selection activeCell="I79" sqref="I79:I86"/>
    </sheetView>
  </sheetViews>
  <sheetFormatPr baseColWidth="10" defaultColWidth="3.140625" defaultRowHeight="22.5" customHeight="1" x14ac:dyDescent="0.3"/>
  <cols>
    <col min="1" max="1" width="2.5703125" style="12" customWidth="1"/>
    <col min="2" max="2" width="4.42578125" style="12" hidden="1" customWidth="1"/>
    <col min="3" max="4" width="42.5703125" style="12" customWidth="1"/>
    <col min="5" max="5" width="41.28515625" style="12" customWidth="1"/>
    <col min="6" max="6" width="7.42578125" style="12" customWidth="1"/>
    <col min="7" max="7" width="3.5703125" style="12" bestFit="1" customWidth="1"/>
    <col min="8" max="8" width="35.7109375" style="12" customWidth="1"/>
    <col min="9" max="9" width="41" style="12" customWidth="1"/>
    <col min="10" max="10" width="7.42578125" style="12" customWidth="1"/>
    <col min="11" max="11" width="22.5703125" style="12" customWidth="1"/>
    <col min="12" max="12" width="4" style="84" bestFit="1" customWidth="1"/>
    <col min="13" max="13" width="8.42578125" style="84" bestFit="1" customWidth="1"/>
    <col min="14" max="14" width="9.5703125" style="86" customWidth="1"/>
    <col min="15" max="16363" width="3.140625" style="12" customWidth="1"/>
    <col min="16364" max="16384" width="3.140625" style="12"/>
  </cols>
  <sheetData>
    <row r="1" spans="3:11" ht="9.9499999999999993" customHeight="1" x14ac:dyDescent="0.3"/>
    <row r="2" spans="3:11" ht="9.9499999999999993" customHeight="1" x14ac:dyDescent="0.3"/>
    <row r="3" spans="3:11" ht="9.9499999999999993" customHeight="1" x14ac:dyDescent="0.3"/>
    <row r="4" spans="3:11" ht="9.9499999999999993" customHeight="1" x14ac:dyDescent="0.3"/>
    <row r="5" spans="3:11" ht="9.9499999999999993" customHeight="1" x14ac:dyDescent="0.3"/>
    <row r="6" spans="3:11" ht="9.9499999999999993" customHeight="1" x14ac:dyDescent="0.3"/>
    <row r="7" spans="3:11" ht="9.9499999999999993" customHeight="1" x14ac:dyDescent="0.3"/>
    <row r="8" spans="3:11" ht="9.9499999999999993" customHeight="1" x14ac:dyDescent="0.3"/>
    <row r="9" spans="3:11" ht="9.9499999999999993" customHeight="1" x14ac:dyDescent="0.3"/>
    <row r="10" spans="3:11" ht="31.5" customHeight="1" x14ac:dyDescent="0.3"/>
    <row r="11" spans="3:11" ht="24.75" customHeight="1" x14ac:dyDescent="0.3"/>
    <row r="12" spans="3:11" ht="20.25" customHeight="1" x14ac:dyDescent="0.3"/>
    <row r="13" spans="3:11" ht="9.9499999999999993" customHeight="1" x14ac:dyDescent="0.3"/>
    <row r="14" spans="3:11" ht="20.100000000000001" customHeight="1" x14ac:dyDescent="0.3">
      <c r="C14" s="609" t="s">
        <v>310</v>
      </c>
      <c r="D14" s="609"/>
      <c r="E14" s="609"/>
      <c r="F14" s="609"/>
      <c r="G14" s="609"/>
      <c r="H14" s="609"/>
      <c r="I14" s="609"/>
      <c r="J14" s="609"/>
      <c r="K14" s="609"/>
    </row>
    <row r="15" spans="3:11" ht="33.6" customHeight="1" x14ac:dyDescent="0.3">
      <c r="C15" s="422" t="s">
        <v>311</v>
      </c>
      <c r="D15" s="422"/>
      <c r="E15" s="422"/>
      <c r="F15" s="422"/>
      <c r="G15" s="422"/>
      <c r="H15" s="422"/>
      <c r="I15" s="422"/>
      <c r="J15" s="422"/>
      <c r="K15" s="422"/>
    </row>
    <row r="16" spans="3:11" ht="9.9499999999999993" customHeight="1" x14ac:dyDescent="0.3">
      <c r="C16" s="13"/>
      <c r="D16" s="13"/>
      <c r="F16" s="14"/>
    </row>
    <row r="17" spans="2:14" ht="36.75" customHeight="1" x14ac:dyDescent="0.3">
      <c r="B17" s="604" t="s">
        <v>110</v>
      </c>
      <c r="C17" s="603" t="s">
        <v>312</v>
      </c>
      <c r="D17" s="610" t="s">
        <v>8</v>
      </c>
      <c r="E17" s="613" t="s">
        <v>113</v>
      </c>
      <c r="F17" s="612" t="s">
        <v>201</v>
      </c>
      <c r="G17" s="611" t="s">
        <v>115</v>
      </c>
      <c r="H17" s="611"/>
      <c r="I17" s="611"/>
      <c r="J17" s="612" t="s">
        <v>202</v>
      </c>
      <c r="K17" s="607" t="s">
        <v>143</v>
      </c>
      <c r="L17" s="492"/>
      <c r="M17" s="492"/>
      <c r="N17" s="626"/>
    </row>
    <row r="18" spans="2:14" ht="29.25" customHeight="1" x14ac:dyDescent="0.3">
      <c r="B18" s="604"/>
      <c r="C18" s="603"/>
      <c r="D18" s="610"/>
      <c r="E18" s="614"/>
      <c r="F18" s="612"/>
      <c r="G18" s="611" t="s">
        <v>13</v>
      </c>
      <c r="H18" s="610" t="s">
        <v>15</v>
      </c>
      <c r="I18" s="610" t="s">
        <v>313</v>
      </c>
      <c r="J18" s="612"/>
      <c r="K18" s="607"/>
      <c r="L18" s="492"/>
      <c r="M18" s="492"/>
      <c r="N18" s="626"/>
    </row>
    <row r="19" spans="2:14" ht="103.5" customHeight="1" thickBot="1" x14ac:dyDescent="0.35">
      <c r="B19" s="604"/>
      <c r="C19" s="603"/>
      <c r="D19" s="610"/>
      <c r="E19" s="615"/>
      <c r="F19" s="612"/>
      <c r="G19" s="611"/>
      <c r="H19" s="611"/>
      <c r="I19" s="611"/>
      <c r="J19" s="612"/>
      <c r="K19" s="608"/>
      <c r="L19" s="492"/>
      <c r="M19" s="492"/>
      <c r="N19" s="626"/>
    </row>
    <row r="20" spans="2:14" ht="82.9" customHeight="1" x14ac:dyDescent="0.3">
      <c r="B20" s="335" t="str">
        <f>+LEFT(C20,4)</f>
        <v>16.1</v>
      </c>
      <c r="C20" s="520" t="s">
        <v>314</v>
      </c>
      <c r="D20" s="317" t="s">
        <v>315</v>
      </c>
      <c r="E20" s="406" t="s">
        <v>723</v>
      </c>
      <c r="F20" s="320">
        <v>3</v>
      </c>
      <c r="G20" s="118">
        <v>1</v>
      </c>
      <c r="H20" s="248" t="s">
        <v>316</v>
      </c>
      <c r="I20" s="329" t="s">
        <v>719</v>
      </c>
      <c r="J20" s="344">
        <v>3</v>
      </c>
      <c r="K20" s="373" t="str">
        <f>+IF(OR(ISBLANK(F20),ISBLANK(J20)),"",IF(OR(AND(F20=1,J20=1),AND(F20=1,J20=2),AND(F20=1,J20=3)),"Deficiencia de control mayor (diseño y ejecución)",IF(OR(AND(F20=2,J20=2),AND(F20=3,J20=1),AND(F20=3,J20=2),AND(F20=2,J20=1)),"Deficiencia de control (diseño o ejecución)",IF(AND(F20=2,J20=3),"Oportunidad de mejora","Mantenimiento del control"))))</f>
        <v>Mantenimiento del control</v>
      </c>
      <c r="L20" s="357">
        <f>+IF(K20="",312,IF(K20="Deficiencia de control mayor (diseño y ejecución)",320,IF(K20="Deficiencia de control (diseño o ejecución)",340,IF(K20="Oportunidad de mejora",360,380))))</f>
        <v>380</v>
      </c>
      <c r="M20" s="493">
        <v>5.8745000000000003</v>
      </c>
      <c r="N20" s="627">
        <f>+L20+M20</f>
        <v>385.87450000000001</v>
      </c>
    </row>
    <row r="21" spans="2:14" ht="49.5" x14ac:dyDescent="0.3">
      <c r="B21" s="336"/>
      <c r="C21" s="315"/>
      <c r="D21" s="318"/>
      <c r="E21" s="407"/>
      <c r="F21" s="321"/>
      <c r="G21" s="115">
        <v>2</v>
      </c>
      <c r="H21" s="252" t="s">
        <v>718</v>
      </c>
      <c r="I21" s="330"/>
      <c r="J21" s="345"/>
      <c r="K21" s="374"/>
      <c r="L21" s="357"/>
      <c r="M21" s="493"/>
      <c r="N21" s="627"/>
    </row>
    <row r="22" spans="2:14" ht="33" x14ac:dyDescent="0.3">
      <c r="B22" s="336"/>
      <c r="C22" s="315"/>
      <c r="D22" s="318"/>
      <c r="E22" s="407"/>
      <c r="F22" s="321"/>
      <c r="G22" s="115">
        <v>3</v>
      </c>
      <c r="H22" s="252" t="s">
        <v>722</v>
      </c>
      <c r="I22" s="330"/>
      <c r="J22" s="345"/>
      <c r="K22" s="374"/>
      <c r="L22" s="357"/>
      <c r="M22" s="493"/>
      <c r="N22" s="627"/>
    </row>
    <row r="23" spans="2:14" ht="16.5" x14ac:dyDescent="0.3">
      <c r="B23" s="336"/>
      <c r="C23" s="315"/>
      <c r="D23" s="318"/>
      <c r="E23" s="407"/>
      <c r="F23" s="321"/>
      <c r="G23" s="115">
        <v>4</v>
      </c>
      <c r="H23" s="252" t="s">
        <v>720</v>
      </c>
      <c r="I23" s="330"/>
      <c r="J23" s="345"/>
      <c r="K23" s="374"/>
      <c r="L23" s="357"/>
      <c r="M23" s="493"/>
      <c r="N23" s="627"/>
    </row>
    <row r="24" spans="2:14" ht="25.15" customHeight="1" thickBot="1" x14ac:dyDescent="0.35">
      <c r="B24" s="336"/>
      <c r="C24" s="315"/>
      <c r="D24" s="318"/>
      <c r="E24" s="407"/>
      <c r="F24" s="321"/>
      <c r="G24" s="115">
        <v>5</v>
      </c>
      <c r="H24" s="252" t="s">
        <v>721</v>
      </c>
      <c r="I24" s="330"/>
      <c r="J24" s="345"/>
      <c r="K24" s="374"/>
      <c r="L24" s="357"/>
      <c r="M24" s="493"/>
      <c r="N24" s="627"/>
    </row>
    <row r="25" spans="2:14" ht="51.75" customHeight="1" x14ac:dyDescent="0.3">
      <c r="B25" s="336"/>
      <c r="C25" s="315"/>
      <c r="D25" s="318"/>
      <c r="E25" s="407"/>
      <c r="F25" s="321"/>
      <c r="G25" s="115">
        <v>6</v>
      </c>
      <c r="H25" s="248" t="s">
        <v>724</v>
      </c>
      <c r="I25" s="330"/>
      <c r="J25" s="345"/>
      <c r="K25" s="374"/>
      <c r="L25" s="357"/>
      <c r="M25" s="493"/>
      <c r="N25" s="627"/>
    </row>
    <row r="26" spans="2:14" ht="25.15" customHeight="1" x14ac:dyDescent="0.3">
      <c r="B26" s="336"/>
      <c r="C26" s="315"/>
      <c r="D26" s="318"/>
      <c r="E26" s="407"/>
      <c r="F26" s="321"/>
      <c r="G26" s="115">
        <v>7</v>
      </c>
      <c r="H26" s="115"/>
      <c r="I26" s="330"/>
      <c r="J26" s="345"/>
      <c r="K26" s="374"/>
      <c r="L26" s="357"/>
      <c r="M26" s="493"/>
      <c r="N26" s="627"/>
    </row>
    <row r="27" spans="2:14" ht="25.15" customHeight="1" thickBot="1" x14ac:dyDescent="0.35">
      <c r="B27" s="337"/>
      <c r="C27" s="316"/>
      <c r="D27" s="319"/>
      <c r="E27" s="408"/>
      <c r="F27" s="322"/>
      <c r="G27" s="117">
        <v>8</v>
      </c>
      <c r="H27" s="117"/>
      <c r="I27" s="331"/>
      <c r="J27" s="346"/>
      <c r="K27" s="375"/>
      <c r="L27" s="357"/>
      <c r="M27" s="493"/>
      <c r="N27" s="627"/>
    </row>
    <row r="28" spans="2:14" ht="82.5" x14ac:dyDescent="0.3">
      <c r="B28" s="335" t="str">
        <f>+LEFT(C28,4)</f>
        <v>16.2</v>
      </c>
      <c r="C28" s="314" t="s">
        <v>317</v>
      </c>
      <c r="D28" s="317" t="s">
        <v>315</v>
      </c>
      <c r="E28" s="406" t="s">
        <v>725</v>
      </c>
      <c r="F28" s="320">
        <v>3</v>
      </c>
      <c r="G28" s="118">
        <v>1</v>
      </c>
      <c r="H28" s="248" t="s">
        <v>316</v>
      </c>
      <c r="I28" s="329" t="s">
        <v>726</v>
      </c>
      <c r="J28" s="344">
        <v>3</v>
      </c>
      <c r="K28" s="373" t="str">
        <f>+IF(OR(ISBLANK(F28),ISBLANK(J28)),"",IF(OR(AND(F28=1,J28=1),AND(F28=1,J28=2),AND(F28=1,J28=3)),"Deficiencia de control mayor (diseño y ejecución)",IF(OR(AND(F28=2,J28=2),AND(F28=3,J28=1),AND(F28=3,J28=2),AND(F28=2,J28=1)),"Deficiencia de control (diseño o ejecución)",IF(AND(F28=2,J28=3),"Oportunidad de mejora","Mantenimiento del control"))))</f>
        <v>Mantenimiento del control</v>
      </c>
      <c r="L28" s="357">
        <f>+IF(K28="",312,IF(K28="Deficiencia de control mayor (diseño y ejecución)",320,IF(K28="Deficiencia de control (diseño o ejecución)",340,IF(K28="Oportunidad de mejora",360,380))))</f>
        <v>380</v>
      </c>
      <c r="M28" s="493">
        <v>5.9653999999999998</v>
      </c>
      <c r="N28" s="627">
        <f>+L28+M28</f>
        <v>385.96539999999999</v>
      </c>
    </row>
    <row r="29" spans="2:14" ht="33" x14ac:dyDescent="0.3">
      <c r="B29" s="336"/>
      <c r="C29" s="315"/>
      <c r="D29" s="318"/>
      <c r="E29" s="407"/>
      <c r="F29" s="321"/>
      <c r="G29" s="115">
        <v>2</v>
      </c>
      <c r="H29" s="249" t="s">
        <v>318</v>
      </c>
      <c r="I29" s="330"/>
      <c r="J29" s="345"/>
      <c r="K29" s="374"/>
      <c r="L29" s="357"/>
      <c r="M29" s="493"/>
      <c r="N29" s="627"/>
    </row>
    <row r="30" spans="2:14" ht="33.75" thickBot="1" x14ac:dyDescent="0.35">
      <c r="B30" s="336"/>
      <c r="C30" s="315"/>
      <c r="D30" s="318"/>
      <c r="E30" s="407"/>
      <c r="F30" s="321"/>
      <c r="G30" s="115">
        <v>3</v>
      </c>
      <c r="H30" s="249" t="s">
        <v>727</v>
      </c>
      <c r="I30" s="330"/>
      <c r="J30" s="345"/>
      <c r="K30" s="374"/>
      <c r="L30" s="357"/>
      <c r="M30" s="493"/>
      <c r="N30" s="627"/>
    </row>
    <row r="31" spans="2:14" ht="49.5" x14ac:dyDescent="0.3">
      <c r="B31" s="336"/>
      <c r="C31" s="315"/>
      <c r="D31" s="318"/>
      <c r="E31" s="407"/>
      <c r="F31" s="321"/>
      <c r="G31" s="115">
        <v>4</v>
      </c>
      <c r="H31" s="248" t="s">
        <v>724</v>
      </c>
      <c r="I31" s="330"/>
      <c r="J31" s="345"/>
      <c r="K31" s="374"/>
      <c r="L31" s="357"/>
      <c r="M31" s="493"/>
      <c r="N31" s="627"/>
    </row>
    <row r="32" spans="2:14" ht="16.5" x14ac:dyDescent="0.3">
      <c r="B32" s="336"/>
      <c r="C32" s="315"/>
      <c r="D32" s="318"/>
      <c r="E32" s="407"/>
      <c r="F32" s="321"/>
      <c r="G32" s="115">
        <v>5</v>
      </c>
      <c r="H32" s="115"/>
      <c r="I32" s="330"/>
      <c r="J32" s="345"/>
      <c r="K32" s="374"/>
      <c r="L32" s="357"/>
      <c r="M32" s="493"/>
      <c r="N32" s="627"/>
    </row>
    <row r="33" spans="2:14" ht="16.5" x14ac:dyDescent="0.3">
      <c r="B33" s="336"/>
      <c r="C33" s="315"/>
      <c r="D33" s="318"/>
      <c r="E33" s="407"/>
      <c r="F33" s="321"/>
      <c r="G33" s="115">
        <v>6</v>
      </c>
      <c r="H33" s="115"/>
      <c r="I33" s="330"/>
      <c r="J33" s="345"/>
      <c r="K33" s="374"/>
      <c r="L33" s="357"/>
      <c r="M33" s="493"/>
      <c r="N33" s="627"/>
    </row>
    <row r="34" spans="2:14" ht="16.5" x14ac:dyDescent="0.3">
      <c r="B34" s="336"/>
      <c r="C34" s="315"/>
      <c r="D34" s="318"/>
      <c r="E34" s="407"/>
      <c r="F34" s="321"/>
      <c r="G34" s="115">
        <v>7</v>
      </c>
      <c r="H34" s="115"/>
      <c r="I34" s="330"/>
      <c r="J34" s="345"/>
      <c r="K34" s="374"/>
      <c r="L34" s="357"/>
      <c r="M34" s="493"/>
      <c r="N34" s="627"/>
    </row>
    <row r="35" spans="2:14" ht="17.25" thickBot="1" x14ac:dyDescent="0.35">
      <c r="B35" s="337"/>
      <c r="C35" s="316"/>
      <c r="D35" s="319"/>
      <c r="E35" s="408"/>
      <c r="F35" s="322"/>
      <c r="G35" s="117">
        <v>8</v>
      </c>
      <c r="H35" s="117"/>
      <c r="I35" s="331"/>
      <c r="J35" s="346"/>
      <c r="K35" s="375"/>
      <c r="L35" s="357"/>
      <c r="M35" s="493"/>
      <c r="N35" s="627"/>
    </row>
    <row r="36" spans="2:14" ht="36" customHeight="1" x14ac:dyDescent="0.3">
      <c r="B36" s="335" t="str">
        <f>+LEFT(C36,4)</f>
        <v>16.3</v>
      </c>
      <c r="C36" s="314" t="s">
        <v>319</v>
      </c>
      <c r="D36" s="317" t="s">
        <v>320</v>
      </c>
      <c r="E36" s="406" t="s">
        <v>729</v>
      </c>
      <c r="F36" s="320">
        <v>3</v>
      </c>
      <c r="G36" s="118">
        <v>1</v>
      </c>
      <c r="H36" s="248" t="s">
        <v>722</v>
      </c>
      <c r="I36" s="329" t="s">
        <v>731</v>
      </c>
      <c r="J36" s="344">
        <v>3</v>
      </c>
      <c r="K36" s="373" t="str">
        <f>+IF(OR(ISBLANK(F36),ISBLANK(J36)),"",IF(OR(AND(F36=1,J36=1),AND(F36=1,J36=2),AND(F36=1,J36=3)),"Deficiencia de control mayor (diseño y ejecución)",IF(OR(AND(F36=2,J36=2),AND(F36=3,J36=1),AND(F36=3,J36=2),AND(F36=2,J36=1)),"Deficiencia de control (diseño o ejecución)",IF(AND(F36=2,J36=3),"Oportunidad de mejora","Mantenimiento del control"))))</f>
        <v>Mantenimiento del control</v>
      </c>
      <c r="L36" s="357">
        <f>+IF(K36="",312,IF(K36="Deficiencia de control mayor (diseño y ejecución)",320,IF(K36="Deficiencia de control (diseño o ejecución)",340,IF(K36="Oportunidad de mejora",360,380))))</f>
        <v>380</v>
      </c>
      <c r="M36" s="493">
        <v>6.0122999999999998</v>
      </c>
      <c r="N36" s="627">
        <f>+L36+M36</f>
        <v>386.01229999999998</v>
      </c>
    </row>
    <row r="37" spans="2:14" ht="22.5" customHeight="1" x14ac:dyDescent="0.3">
      <c r="B37" s="336"/>
      <c r="C37" s="315"/>
      <c r="D37" s="318"/>
      <c r="E37" s="407"/>
      <c r="F37" s="321"/>
      <c r="G37" s="115">
        <v>2</v>
      </c>
      <c r="H37" s="251" t="s">
        <v>728</v>
      </c>
      <c r="I37" s="330"/>
      <c r="J37" s="345"/>
      <c r="K37" s="374"/>
      <c r="L37" s="357"/>
      <c r="M37" s="493"/>
      <c r="N37" s="627"/>
    </row>
    <row r="38" spans="2:14" ht="38.25" customHeight="1" x14ac:dyDescent="0.3">
      <c r="B38" s="336"/>
      <c r="C38" s="315"/>
      <c r="D38" s="318"/>
      <c r="E38" s="407"/>
      <c r="F38" s="321"/>
      <c r="G38" s="115">
        <v>3</v>
      </c>
      <c r="H38" s="249" t="s">
        <v>730</v>
      </c>
      <c r="I38" s="330"/>
      <c r="J38" s="345"/>
      <c r="K38" s="374"/>
      <c r="L38" s="357"/>
      <c r="M38" s="493"/>
      <c r="N38" s="627"/>
    </row>
    <row r="39" spans="2:14" ht="22.5" customHeight="1" x14ac:dyDescent="0.3">
      <c r="B39" s="336"/>
      <c r="C39" s="315"/>
      <c r="D39" s="318"/>
      <c r="E39" s="407"/>
      <c r="F39" s="321"/>
      <c r="G39" s="115">
        <v>4</v>
      </c>
      <c r="H39" s="115"/>
      <c r="I39" s="330"/>
      <c r="J39" s="345"/>
      <c r="K39" s="374"/>
      <c r="L39" s="357"/>
      <c r="M39" s="493"/>
      <c r="N39" s="627"/>
    </row>
    <row r="40" spans="2:14" ht="22.5" customHeight="1" x14ac:dyDescent="0.3">
      <c r="B40" s="336"/>
      <c r="C40" s="315"/>
      <c r="D40" s="318"/>
      <c r="E40" s="407"/>
      <c r="F40" s="321"/>
      <c r="G40" s="115">
        <v>5</v>
      </c>
      <c r="H40" s="115"/>
      <c r="I40" s="330"/>
      <c r="J40" s="345"/>
      <c r="K40" s="374"/>
      <c r="L40" s="357"/>
      <c r="M40" s="493"/>
      <c r="N40" s="627"/>
    </row>
    <row r="41" spans="2:14" ht="22.5" customHeight="1" x14ac:dyDescent="0.3">
      <c r="B41" s="336"/>
      <c r="C41" s="315"/>
      <c r="D41" s="318"/>
      <c r="E41" s="407"/>
      <c r="F41" s="321"/>
      <c r="G41" s="115">
        <v>6</v>
      </c>
      <c r="H41" s="115"/>
      <c r="I41" s="330"/>
      <c r="J41" s="345"/>
      <c r="K41" s="374"/>
      <c r="L41" s="357"/>
      <c r="M41" s="493"/>
      <c r="N41" s="627"/>
    </row>
    <row r="42" spans="2:14" ht="22.5" customHeight="1" x14ac:dyDescent="0.3">
      <c r="B42" s="336"/>
      <c r="C42" s="315"/>
      <c r="D42" s="318"/>
      <c r="E42" s="407"/>
      <c r="F42" s="321"/>
      <c r="G42" s="115">
        <v>7</v>
      </c>
      <c r="H42" s="115"/>
      <c r="I42" s="330"/>
      <c r="J42" s="345"/>
      <c r="K42" s="374"/>
      <c r="L42" s="357"/>
      <c r="M42" s="493"/>
      <c r="N42" s="627"/>
    </row>
    <row r="43" spans="2:14" ht="56.25" customHeight="1" thickBot="1" x14ac:dyDescent="0.35">
      <c r="B43" s="337"/>
      <c r="C43" s="316"/>
      <c r="D43" s="319"/>
      <c r="E43" s="408"/>
      <c r="F43" s="322"/>
      <c r="G43" s="117">
        <v>8</v>
      </c>
      <c r="H43" s="117"/>
      <c r="I43" s="331"/>
      <c r="J43" s="346"/>
      <c r="K43" s="375"/>
      <c r="L43" s="357"/>
      <c r="M43" s="493"/>
      <c r="N43" s="627"/>
    </row>
    <row r="44" spans="2:14" ht="22.5" customHeight="1" x14ac:dyDescent="0.3">
      <c r="B44" s="335" t="str">
        <f>+LEFT(C44,4)</f>
        <v>16.4</v>
      </c>
      <c r="C44" s="314" t="s">
        <v>321</v>
      </c>
      <c r="D44" s="317" t="s">
        <v>322</v>
      </c>
      <c r="E44" s="303" t="s">
        <v>734</v>
      </c>
      <c r="F44" s="320">
        <v>3</v>
      </c>
      <c r="G44" s="118">
        <v>1</v>
      </c>
      <c r="H44" s="250" t="s">
        <v>510</v>
      </c>
      <c r="I44" s="329" t="s">
        <v>733</v>
      </c>
      <c r="J44" s="344">
        <v>3</v>
      </c>
      <c r="K44" s="373" t="str">
        <f>+IF(OR(ISBLANK(F44),ISBLANK(J44)),"",IF(OR(AND(F44=1,J44=1),AND(F44=1,J44=2),AND(F44=1,J44=3)),"Deficiencia de control mayor (diseño y ejecución)",IF(OR(AND(F44=2,J44=2),AND(F44=3,J44=1),AND(F44=3,J44=2),AND(F44=2,J44=1)),"Deficiencia de control (diseño o ejecución)",IF(AND(F44=2,J44=3),"Oportunidad de mejora","Mantenimiento del control"))))</f>
        <v>Mantenimiento del control</v>
      </c>
      <c r="L44" s="357">
        <f>+IF(K44="",312,IF(K44="Deficiencia de control mayor (diseño y ejecución)",320,IF(K44="Deficiencia de control (diseño o ejecución)",340,IF(K44="Oportunidad de mejora",360,380))))</f>
        <v>380</v>
      </c>
      <c r="M44" s="493">
        <v>6.1235999999999997</v>
      </c>
      <c r="N44" s="627">
        <f>+L44+M44</f>
        <v>386.12360000000001</v>
      </c>
    </row>
    <row r="45" spans="2:14" ht="22.5" customHeight="1" x14ac:dyDescent="0.3">
      <c r="B45" s="336"/>
      <c r="C45" s="315"/>
      <c r="D45" s="318"/>
      <c r="E45" s="304"/>
      <c r="F45" s="321"/>
      <c r="G45" s="115">
        <v>2</v>
      </c>
      <c r="H45" s="251" t="s">
        <v>609</v>
      </c>
      <c r="I45" s="330"/>
      <c r="J45" s="345"/>
      <c r="K45" s="374"/>
      <c r="L45" s="357"/>
      <c r="M45" s="493"/>
      <c r="N45" s="627"/>
    </row>
    <row r="46" spans="2:14" ht="22.5" customHeight="1" x14ac:dyDescent="0.3">
      <c r="B46" s="336"/>
      <c r="C46" s="315"/>
      <c r="D46" s="318"/>
      <c r="E46" s="304"/>
      <c r="F46" s="321"/>
      <c r="G46" s="115">
        <v>3</v>
      </c>
      <c r="H46" s="251" t="s">
        <v>732</v>
      </c>
      <c r="I46" s="330"/>
      <c r="J46" s="345"/>
      <c r="K46" s="374"/>
      <c r="L46" s="357"/>
      <c r="M46" s="493"/>
      <c r="N46" s="627"/>
    </row>
    <row r="47" spans="2:14" ht="22.5" customHeight="1" x14ac:dyDescent="0.3">
      <c r="B47" s="336"/>
      <c r="C47" s="315"/>
      <c r="D47" s="318"/>
      <c r="E47" s="304"/>
      <c r="F47" s="321"/>
      <c r="G47" s="115">
        <v>4</v>
      </c>
      <c r="H47" s="251" t="s">
        <v>525</v>
      </c>
      <c r="I47" s="330"/>
      <c r="J47" s="345"/>
      <c r="K47" s="374"/>
      <c r="L47" s="357"/>
      <c r="M47" s="493"/>
      <c r="N47" s="627"/>
    </row>
    <row r="48" spans="2:14" ht="22.5" customHeight="1" x14ac:dyDescent="0.3">
      <c r="B48" s="336"/>
      <c r="C48" s="315"/>
      <c r="D48" s="318"/>
      <c r="E48" s="304"/>
      <c r="F48" s="321"/>
      <c r="G48" s="115">
        <v>5</v>
      </c>
      <c r="H48" s="115"/>
      <c r="I48" s="330"/>
      <c r="J48" s="345"/>
      <c r="K48" s="374"/>
      <c r="L48" s="357"/>
      <c r="M48" s="493"/>
      <c r="N48" s="627"/>
    </row>
    <row r="49" spans="2:14" ht="22.5" customHeight="1" x14ac:dyDescent="0.3">
      <c r="B49" s="336"/>
      <c r="C49" s="315"/>
      <c r="D49" s="318"/>
      <c r="E49" s="304"/>
      <c r="F49" s="321"/>
      <c r="G49" s="115">
        <v>6</v>
      </c>
      <c r="H49" s="115"/>
      <c r="I49" s="330"/>
      <c r="J49" s="345"/>
      <c r="K49" s="374"/>
      <c r="L49" s="357"/>
      <c r="M49" s="493"/>
      <c r="N49" s="627"/>
    </row>
    <row r="50" spans="2:14" ht="22.5" customHeight="1" x14ac:dyDescent="0.3">
      <c r="B50" s="336"/>
      <c r="C50" s="315"/>
      <c r="D50" s="318"/>
      <c r="E50" s="304"/>
      <c r="F50" s="321"/>
      <c r="G50" s="115">
        <v>7</v>
      </c>
      <c r="H50" s="115"/>
      <c r="I50" s="330"/>
      <c r="J50" s="345"/>
      <c r="K50" s="374"/>
      <c r="L50" s="357"/>
      <c r="M50" s="493"/>
      <c r="N50" s="627"/>
    </row>
    <row r="51" spans="2:14" ht="22.5" customHeight="1" thickBot="1" x14ac:dyDescent="0.35">
      <c r="B51" s="337"/>
      <c r="C51" s="316"/>
      <c r="D51" s="319"/>
      <c r="E51" s="305"/>
      <c r="F51" s="322"/>
      <c r="G51" s="117">
        <v>8</v>
      </c>
      <c r="H51" s="117"/>
      <c r="I51" s="331"/>
      <c r="J51" s="346"/>
      <c r="K51" s="375"/>
      <c r="L51" s="357"/>
      <c r="M51" s="493"/>
      <c r="N51" s="627"/>
    </row>
    <row r="52" spans="2:14" ht="37.15" customHeight="1" x14ac:dyDescent="0.3">
      <c r="B52" s="335" t="str">
        <f>+LEFT(C52,4)</f>
        <v>16.5</v>
      </c>
      <c r="C52" s="314" t="s">
        <v>323</v>
      </c>
      <c r="D52" s="317" t="s">
        <v>234</v>
      </c>
      <c r="E52" s="406" t="s">
        <v>738</v>
      </c>
      <c r="F52" s="320">
        <v>3</v>
      </c>
      <c r="G52" s="118">
        <v>1</v>
      </c>
      <c r="H52" s="248" t="s">
        <v>735</v>
      </c>
      <c r="I52" s="392" t="s">
        <v>737</v>
      </c>
      <c r="J52" s="344">
        <v>3</v>
      </c>
      <c r="K52" s="373" t="str">
        <f>+IF(OR(ISBLANK(F52),ISBLANK(J52)),"",IF(OR(AND(F52=1,J52=1),AND(F52=1,J52=2),AND(F52=1,J52=3)),"Deficiencia de control mayor (diseño y ejecución)",IF(OR(AND(F52=2,J52=2),AND(F52=3,J52=1),AND(F52=3,J52=2),AND(F52=2,J52=1)),"Deficiencia de control (diseño o ejecución)",IF(AND(F52=2,J52=3),"Oportunidad de mejora","Mantenimiento del control"))))</f>
        <v>Mantenimiento del control</v>
      </c>
      <c r="L52" s="357">
        <f>+IF(K52="",312,IF(K52="Deficiencia de control mayor (diseño y ejecución)",320,IF(K52="Deficiencia de control (diseño o ejecución)",340,IF(K52="Oportunidad de mejora",360,380))))</f>
        <v>380</v>
      </c>
      <c r="M52" s="493">
        <v>6.2135999999999996</v>
      </c>
      <c r="N52" s="627">
        <f>+L52+M52</f>
        <v>386.21359999999999</v>
      </c>
    </row>
    <row r="53" spans="2:14" ht="33" x14ac:dyDescent="0.3">
      <c r="B53" s="336"/>
      <c r="C53" s="315"/>
      <c r="D53" s="318"/>
      <c r="E53" s="407"/>
      <c r="F53" s="321"/>
      <c r="G53" s="115">
        <v>2</v>
      </c>
      <c r="H53" s="249" t="s">
        <v>736</v>
      </c>
      <c r="I53" s="601"/>
      <c r="J53" s="345"/>
      <c r="K53" s="374"/>
      <c r="L53" s="357"/>
      <c r="M53" s="493"/>
      <c r="N53" s="627"/>
    </row>
    <row r="54" spans="2:14" ht="16.5" x14ac:dyDescent="0.3">
      <c r="B54" s="336"/>
      <c r="C54" s="315"/>
      <c r="D54" s="318"/>
      <c r="E54" s="407"/>
      <c r="F54" s="321"/>
      <c r="G54" s="115">
        <v>3</v>
      </c>
      <c r="H54" s="115"/>
      <c r="I54" s="601"/>
      <c r="J54" s="345"/>
      <c r="K54" s="374"/>
      <c r="L54" s="357"/>
      <c r="M54" s="493"/>
      <c r="N54" s="627"/>
    </row>
    <row r="55" spans="2:14" ht="16.5" x14ac:dyDescent="0.3">
      <c r="B55" s="336"/>
      <c r="C55" s="315"/>
      <c r="D55" s="318"/>
      <c r="E55" s="407"/>
      <c r="F55" s="321"/>
      <c r="G55" s="115">
        <v>4</v>
      </c>
      <c r="H55" s="115"/>
      <c r="I55" s="601"/>
      <c r="J55" s="345"/>
      <c r="K55" s="374"/>
      <c r="L55" s="357"/>
      <c r="M55" s="493"/>
      <c r="N55" s="627"/>
    </row>
    <row r="56" spans="2:14" ht="16.5" x14ac:dyDescent="0.3">
      <c r="B56" s="336"/>
      <c r="C56" s="315"/>
      <c r="D56" s="318"/>
      <c r="E56" s="407"/>
      <c r="F56" s="321"/>
      <c r="G56" s="115">
        <v>5</v>
      </c>
      <c r="H56" s="115"/>
      <c r="I56" s="601"/>
      <c r="J56" s="345"/>
      <c r="K56" s="374"/>
      <c r="L56" s="357"/>
      <c r="M56" s="493"/>
      <c r="N56" s="627"/>
    </row>
    <row r="57" spans="2:14" ht="16.5" x14ac:dyDescent="0.3">
      <c r="B57" s="336"/>
      <c r="C57" s="315"/>
      <c r="D57" s="318"/>
      <c r="E57" s="407"/>
      <c r="F57" s="321"/>
      <c r="G57" s="115">
        <v>6</v>
      </c>
      <c r="H57" s="115"/>
      <c r="I57" s="601"/>
      <c r="J57" s="345"/>
      <c r="K57" s="374"/>
      <c r="L57" s="357"/>
      <c r="M57" s="493"/>
      <c r="N57" s="627"/>
    </row>
    <row r="58" spans="2:14" ht="16.5" x14ac:dyDescent="0.3">
      <c r="B58" s="336"/>
      <c r="C58" s="315"/>
      <c r="D58" s="318"/>
      <c r="E58" s="407"/>
      <c r="F58" s="321"/>
      <c r="G58" s="115">
        <v>7</v>
      </c>
      <c r="H58" s="115"/>
      <c r="I58" s="601"/>
      <c r="J58" s="345"/>
      <c r="K58" s="374"/>
      <c r="L58" s="357"/>
      <c r="M58" s="493"/>
      <c r="N58" s="627"/>
    </row>
    <row r="59" spans="2:14" ht="17.25" thickBot="1" x14ac:dyDescent="0.35">
      <c r="B59" s="337"/>
      <c r="C59" s="316"/>
      <c r="D59" s="319"/>
      <c r="E59" s="408"/>
      <c r="F59" s="322"/>
      <c r="G59" s="117">
        <v>8</v>
      </c>
      <c r="H59" s="117"/>
      <c r="I59" s="602"/>
      <c r="J59" s="346"/>
      <c r="K59" s="375"/>
      <c r="L59" s="357"/>
      <c r="M59" s="493"/>
      <c r="N59" s="627"/>
    </row>
    <row r="60" spans="2:14" ht="22.5" customHeight="1" x14ac:dyDescent="0.3">
      <c r="B60" s="603"/>
      <c r="C60" s="603" t="s">
        <v>324</v>
      </c>
      <c r="D60" s="610" t="s">
        <v>8</v>
      </c>
      <c r="E60" s="623" t="s">
        <v>113</v>
      </c>
      <c r="F60" s="622" t="s">
        <v>201</v>
      </c>
      <c r="G60" s="616" t="s">
        <v>115</v>
      </c>
      <c r="H60" s="616"/>
      <c r="I60" s="616"/>
      <c r="J60" s="622" t="s">
        <v>202</v>
      </c>
      <c r="K60" s="605" t="s">
        <v>143</v>
      </c>
      <c r="L60" s="491"/>
      <c r="M60" s="491"/>
      <c r="N60" s="628"/>
    </row>
    <row r="61" spans="2:14" ht="22.5" customHeight="1" x14ac:dyDescent="0.3">
      <c r="B61" s="603"/>
      <c r="C61" s="603"/>
      <c r="D61" s="610"/>
      <c r="E61" s="624"/>
      <c r="F61" s="622"/>
      <c r="G61" s="616" t="s">
        <v>13</v>
      </c>
      <c r="H61" s="610" t="s">
        <v>15</v>
      </c>
      <c r="I61" s="610" t="s">
        <v>313</v>
      </c>
      <c r="J61" s="622"/>
      <c r="K61" s="605"/>
      <c r="L61" s="491"/>
      <c r="M61" s="491"/>
      <c r="N61" s="628"/>
    </row>
    <row r="62" spans="2:14" ht="114.75" customHeight="1" thickBot="1" x14ac:dyDescent="0.35">
      <c r="B62" s="603"/>
      <c r="C62" s="603"/>
      <c r="D62" s="610"/>
      <c r="E62" s="625"/>
      <c r="F62" s="622"/>
      <c r="G62" s="616"/>
      <c r="H62" s="611"/>
      <c r="I62" s="611"/>
      <c r="J62" s="622"/>
      <c r="K62" s="606"/>
      <c r="L62" s="491"/>
      <c r="M62" s="491"/>
      <c r="N62" s="628"/>
    </row>
    <row r="63" spans="2:14" ht="49.5" customHeight="1" x14ac:dyDescent="0.3">
      <c r="B63" s="335" t="str">
        <f>+LEFT(C63,5)</f>
        <v xml:space="preserve">17.1 </v>
      </c>
      <c r="C63" s="314" t="s">
        <v>325</v>
      </c>
      <c r="D63" s="317" t="s">
        <v>234</v>
      </c>
      <c r="E63" s="406" t="s">
        <v>740</v>
      </c>
      <c r="F63" s="320">
        <v>3</v>
      </c>
      <c r="G63" s="118">
        <v>1</v>
      </c>
      <c r="H63" s="249" t="s">
        <v>735</v>
      </c>
      <c r="I63" s="392" t="s">
        <v>741</v>
      </c>
      <c r="J63" s="344">
        <v>3</v>
      </c>
      <c r="K63" s="373" t="str">
        <f>+IF(OR(ISBLANK(F63),ISBLANK(J63)),"",IF(OR(AND(F63=1,J63=1),AND(F63=1,J63=2),AND(F63=1,J63=3)),"Deficiencia de control mayor (diseño y ejecución)",IF(OR(AND(F63=2,J63=2),AND(F63=3,J63=1),AND(F63=3,J63=2),AND(F63=2,J63=1)),"Deficiencia de control (diseño o ejecución)",IF(AND(F63=2,J63=3),"Oportunidad de mejora","Mantenimiento del control"))))</f>
        <v>Mantenimiento del control</v>
      </c>
      <c r="L63" s="357">
        <f>+IF(K63="",312,IF(K63="Deficiencia de control mayor (diseño y ejecución)",320,IF(K63="Deficiencia de control (diseño o ejecución)",340,IF(K63="Oportunidad de mejora",360,380))))</f>
        <v>380</v>
      </c>
      <c r="M63" s="493">
        <v>6.3258000000000001</v>
      </c>
      <c r="N63" s="627">
        <f>+L63+M63</f>
        <v>386.32580000000002</v>
      </c>
    </row>
    <row r="64" spans="2:14" ht="33" x14ac:dyDescent="0.3">
      <c r="B64" s="336"/>
      <c r="C64" s="315"/>
      <c r="D64" s="318"/>
      <c r="E64" s="407"/>
      <c r="F64" s="321"/>
      <c r="G64" s="115">
        <v>2</v>
      </c>
      <c r="H64" s="249" t="s">
        <v>739</v>
      </c>
      <c r="I64" s="601"/>
      <c r="J64" s="345"/>
      <c r="K64" s="374"/>
      <c r="L64" s="357"/>
      <c r="M64" s="493"/>
      <c r="N64" s="627"/>
    </row>
    <row r="65" spans="2:14" ht="16.5" x14ac:dyDescent="0.3">
      <c r="B65" s="336"/>
      <c r="C65" s="315"/>
      <c r="D65" s="318"/>
      <c r="E65" s="407"/>
      <c r="F65" s="321"/>
      <c r="G65" s="115">
        <v>3</v>
      </c>
      <c r="H65" s="115"/>
      <c r="I65" s="601"/>
      <c r="J65" s="345"/>
      <c r="K65" s="374"/>
      <c r="L65" s="357"/>
      <c r="M65" s="493"/>
      <c r="N65" s="627"/>
    </row>
    <row r="66" spans="2:14" ht="16.5" x14ac:dyDescent="0.3">
      <c r="B66" s="336"/>
      <c r="C66" s="315"/>
      <c r="D66" s="318"/>
      <c r="E66" s="407"/>
      <c r="F66" s="321"/>
      <c r="G66" s="115">
        <v>4</v>
      </c>
      <c r="H66" s="115"/>
      <c r="I66" s="601"/>
      <c r="J66" s="345"/>
      <c r="K66" s="374"/>
      <c r="L66" s="357"/>
      <c r="M66" s="493"/>
      <c r="N66" s="627"/>
    </row>
    <row r="67" spans="2:14" ht="16.5" x14ac:dyDescent="0.3">
      <c r="B67" s="336"/>
      <c r="C67" s="315"/>
      <c r="D67" s="318"/>
      <c r="E67" s="407"/>
      <c r="F67" s="321"/>
      <c r="G67" s="115">
        <v>5</v>
      </c>
      <c r="H67" s="115"/>
      <c r="I67" s="601"/>
      <c r="J67" s="345"/>
      <c r="K67" s="374"/>
      <c r="L67" s="357"/>
      <c r="M67" s="493"/>
      <c r="N67" s="627"/>
    </row>
    <row r="68" spans="2:14" ht="16.5" x14ac:dyDescent="0.3">
      <c r="B68" s="336"/>
      <c r="C68" s="315"/>
      <c r="D68" s="318"/>
      <c r="E68" s="407"/>
      <c r="F68" s="321"/>
      <c r="G68" s="115">
        <v>6</v>
      </c>
      <c r="H68" s="115"/>
      <c r="I68" s="601"/>
      <c r="J68" s="345"/>
      <c r="K68" s="374"/>
      <c r="L68" s="357"/>
      <c r="M68" s="493"/>
      <c r="N68" s="627"/>
    </row>
    <row r="69" spans="2:14" ht="16.5" x14ac:dyDescent="0.3">
      <c r="B69" s="336"/>
      <c r="C69" s="315"/>
      <c r="D69" s="318"/>
      <c r="E69" s="407"/>
      <c r="F69" s="321"/>
      <c r="G69" s="115">
        <v>7</v>
      </c>
      <c r="H69" s="115"/>
      <c r="I69" s="601"/>
      <c r="J69" s="345"/>
      <c r="K69" s="374"/>
      <c r="L69" s="357"/>
      <c r="M69" s="493"/>
      <c r="N69" s="627"/>
    </row>
    <row r="70" spans="2:14" ht="17.25" thickBot="1" x14ac:dyDescent="0.35">
      <c r="B70" s="337"/>
      <c r="C70" s="316"/>
      <c r="D70" s="319"/>
      <c r="E70" s="408"/>
      <c r="F70" s="322"/>
      <c r="G70" s="117">
        <v>8</v>
      </c>
      <c r="H70" s="117"/>
      <c r="I70" s="602"/>
      <c r="J70" s="346"/>
      <c r="K70" s="375"/>
      <c r="L70" s="357"/>
      <c r="M70" s="493"/>
      <c r="N70" s="627"/>
    </row>
    <row r="71" spans="2:14" ht="52.5" customHeight="1" x14ac:dyDescent="0.3">
      <c r="B71" s="335" t="str">
        <f>+LEFT(C71,5)</f>
        <v xml:space="preserve">17.2 </v>
      </c>
      <c r="C71" s="619" t="s">
        <v>326</v>
      </c>
      <c r="D71" s="317" t="s">
        <v>234</v>
      </c>
      <c r="E71" s="406" t="s">
        <v>740</v>
      </c>
      <c r="F71" s="320">
        <v>3</v>
      </c>
      <c r="G71" s="118">
        <v>1</v>
      </c>
      <c r="H71" s="249" t="s">
        <v>735</v>
      </c>
      <c r="I71" s="392" t="s">
        <v>741</v>
      </c>
      <c r="J71" s="344">
        <v>3</v>
      </c>
      <c r="K71" s="373" t="str">
        <f>+IF(OR(ISBLANK(F71),ISBLANK(J71)),"",IF(OR(AND(F71=1,J71=1),AND(F71=1,J71=2),AND(F71=1,J71=3)),"Deficiencia de control mayor (diseño y ejecución)",IF(OR(AND(F71=2,J71=2),AND(F71=3,J71=1),AND(F71=3,J71=2),AND(F71=2,J71=1)),"Deficiencia de control (diseño o ejecución)",IF(AND(F71=2,J71=3),"Oportunidad de mejora","Mantenimiento del control"))))</f>
        <v>Mantenimiento del control</v>
      </c>
      <c r="L71" s="357">
        <f>+IF(K71="",312,IF(K71="Deficiencia de control mayor (diseño y ejecución)",320,IF(K71="Deficiencia de control (diseño o ejecución)",340,IF(K71="Oportunidad de mejora",360,380))))</f>
        <v>380</v>
      </c>
      <c r="M71" s="493">
        <v>6.4569000000000001</v>
      </c>
      <c r="N71" s="627">
        <f>+L71+M71</f>
        <v>386.45690000000002</v>
      </c>
    </row>
    <row r="72" spans="2:14" ht="34.5" customHeight="1" x14ac:dyDescent="0.3">
      <c r="B72" s="336"/>
      <c r="C72" s="620"/>
      <c r="D72" s="318"/>
      <c r="E72" s="407"/>
      <c r="F72" s="321"/>
      <c r="G72" s="115">
        <v>2</v>
      </c>
      <c r="H72" s="249" t="s">
        <v>739</v>
      </c>
      <c r="I72" s="601"/>
      <c r="J72" s="345"/>
      <c r="K72" s="374"/>
      <c r="L72" s="357"/>
      <c r="M72" s="493"/>
      <c r="N72" s="627"/>
    </row>
    <row r="73" spans="2:14" ht="34.5" customHeight="1" x14ac:dyDescent="0.3">
      <c r="B73" s="336"/>
      <c r="C73" s="620"/>
      <c r="D73" s="318"/>
      <c r="E73" s="407"/>
      <c r="F73" s="321"/>
      <c r="G73" s="115">
        <v>3</v>
      </c>
      <c r="H73" s="115"/>
      <c r="I73" s="601"/>
      <c r="J73" s="345"/>
      <c r="K73" s="374"/>
      <c r="L73" s="357"/>
      <c r="M73" s="493"/>
      <c r="N73" s="627"/>
    </row>
    <row r="74" spans="2:14" ht="34.5" customHeight="1" x14ac:dyDescent="0.3">
      <c r="B74" s="336"/>
      <c r="C74" s="620"/>
      <c r="D74" s="318"/>
      <c r="E74" s="407"/>
      <c r="F74" s="321"/>
      <c r="G74" s="115">
        <v>4</v>
      </c>
      <c r="H74" s="115"/>
      <c r="I74" s="601"/>
      <c r="J74" s="345"/>
      <c r="K74" s="374"/>
      <c r="L74" s="357"/>
      <c r="M74" s="493"/>
      <c r="N74" s="627"/>
    </row>
    <row r="75" spans="2:14" ht="34.5" customHeight="1" x14ac:dyDescent="0.3">
      <c r="B75" s="336"/>
      <c r="C75" s="620"/>
      <c r="D75" s="318"/>
      <c r="E75" s="407"/>
      <c r="F75" s="321"/>
      <c r="G75" s="115">
        <v>5</v>
      </c>
      <c r="H75" s="115"/>
      <c r="I75" s="601"/>
      <c r="J75" s="345"/>
      <c r="K75" s="374"/>
      <c r="L75" s="357"/>
      <c r="M75" s="493"/>
      <c r="N75" s="627"/>
    </row>
    <row r="76" spans="2:14" ht="34.5" customHeight="1" x14ac:dyDescent="0.3">
      <c r="B76" s="336"/>
      <c r="C76" s="620"/>
      <c r="D76" s="318"/>
      <c r="E76" s="407"/>
      <c r="F76" s="321"/>
      <c r="G76" s="115">
        <v>6</v>
      </c>
      <c r="H76" s="115"/>
      <c r="I76" s="601"/>
      <c r="J76" s="345"/>
      <c r="K76" s="374"/>
      <c r="L76" s="357"/>
      <c r="M76" s="493"/>
      <c r="N76" s="627"/>
    </row>
    <row r="77" spans="2:14" ht="34.5" customHeight="1" x14ac:dyDescent="0.3">
      <c r="B77" s="336"/>
      <c r="C77" s="620"/>
      <c r="D77" s="318"/>
      <c r="E77" s="407"/>
      <c r="F77" s="321"/>
      <c r="G77" s="115">
        <v>7</v>
      </c>
      <c r="H77" s="115"/>
      <c r="I77" s="601"/>
      <c r="J77" s="345"/>
      <c r="K77" s="374"/>
      <c r="L77" s="357"/>
      <c r="M77" s="493"/>
      <c r="N77" s="627"/>
    </row>
    <row r="78" spans="2:14" ht="34.5" customHeight="1" thickBot="1" x14ac:dyDescent="0.35">
      <c r="B78" s="337"/>
      <c r="C78" s="621"/>
      <c r="D78" s="319"/>
      <c r="E78" s="408"/>
      <c r="F78" s="322"/>
      <c r="G78" s="117">
        <v>8</v>
      </c>
      <c r="H78" s="117"/>
      <c r="I78" s="602"/>
      <c r="J78" s="346"/>
      <c r="K78" s="375"/>
      <c r="L78" s="357"/>
      <c r="M78" s="493"/>
      <c r="N78" s="627"/>
    </row>
    <row r="79" spans="2:14" ht="36.6" customHeight="1" x14ac:dyDescent="0.3">
      <c r="B79" s="335" t="str">
        <f>+LEFT(C79,5)</f>
        <v xml:space="preserve">17.3 </v>
      </c>
      <c r="C79" s="314" t="s">
        <v>327</v>
      </c>
      <c r="D79" s="317" t="s">
        <v>234</v>
      </c>
      <c r="E79" s="550" t="s">
        <v>742</v>
      </c>
      <c r="F79" s="320">
        <v>3</v>
      </c>
      <c r="G79" s="118">
        <v>1</v>
      </c>
      <c r="H79" s="248" t="s">
        <v>328</v>
      </c>
      <c r="I79" s="329" t="s">
        <v>744</v>
      </c>
      <c r="J79" s="344">
        <v>3</v>
      </c>
      <c r="K79" s="373" t="str">
        <f>+IF(OR(ISBLANK(F79),ISBLANK(J79)),"",IF(OR(AND(F79=1,J79=1),AND(F79=1,J79=2),AND(F79=1,J79=3)),"Deficiencia de control mayor (diseño y ejecución)",IF(OR(AND(F79=2,J79=2),AND(F79=3,J79=1),AND(F79=3,J79=2),AND(F79=2,J79=1)),"Deficiencia de control (diseño o ejecución)",IF(AND(F79=2,J79=3),"Oportunidad de mejora","Mantenimiento del control"))))</f>
        <v>Mantenimiento del control</v>
      </c>
      <c r="L79" s="357">
        <f>+IF(K79="",312,IF(K79="Deficiencia de control mayor (diseño y ejecución)",320,IF(K79="Deficiencia de control (diseño o ejecución)",340,IF(K79="Oportunidad de mejora",360,380))))</f>
        <v>380</v>
      </c>
      <c r="M79" s="493">
        <v>6.5632000000000001</v>
      </c>
      <c r="N79" s="627">
        <f>+L79+M79</f>
        <v>386.56319999999999</v>
      </c>
    </row>
    <row r="80" spans="2:14" ht="39.6" customHeight="1" x14ac:dyDescent="0.3">
      <c r="B80" s="336"/>
      <c r="C80" s="315"/>
      <c r="D80" s="318"/>
      <c r="E80" s="551"/>
      <c r="F80" s="321"/>
      <c r="G80" s="115">
        <v>2</v>
      </c>
      <c r="H80" s="249" t="s">
        <v>743</v>
      </c>
      <c r="I80" s="330"/>
      <c r="J80" s="345"/>
      <c r="K80" s="374"/>
      <c r="L80" s="357"/>
      <c r="M80" s="493"/>
      <c r="N80" s="627"/>
    </row>
    <row r="81" spans="2:14" ht="45" customHeight="1" x14ac:dyDescent="0.3">
      <c r="B81" s="336"/>
      <c r="C81" s="315"/>
      <c r="D81" s="318"/>
      <c r="E81" s="551"/>
      <c r="F81" s="321"/>
      <c r="G81" s="115">
        <v>3</v>
      </c>
      <c r="H81" s="249" t="s">
        <v>727</v>
      </c>
      <c r="I81" s="330"/>
      <c r="J81" s="345"/>
      <c r="K81" s="374"/>
      <c r="L81" s="357"/>
      <c r="M81" s="493"/>
      <c r="N81" s="627"/>
    </row>
    <row r="82" spans="2:14" ht="22.5" customHeight="1" x14ac:dyDescent="0.3">
      <c r="B82" s="336"/>
      <c r="C82" s="315"/>
      <c r="D82" s="318"/>
      <c r="E82" s="551"/>
      <c r="F82" s="321"/>
      <c r="G82" s="115">
        <v>4</v>
      </c>
      <c r="H82" s="115"/>
      <c r="I82" s="330"/>
      <c r="J82" s="345"/>
      <c r="K82" s="374"/>
      <c r="L82" s="357"/>
      <c r="M82" s="493"/>
      <c r="N82" s="627"/>
    </row>
    <row r="83" spans="2:14" ht="22.5" customHeight="1" x14ac:dyDescent="0.3">
      <c r="B83" s="336"/>
      <c r="C83" s="315"/>
      <c r="D83" s="318"/>
      <c r="E83" s="551"/>
      <c r="F83" s="321"/>
      <c r="G83" s="115">
        <v>5</v>
      </c>
      <c r="H83" s="115"/>
      <c r="I83" s="330"/>
      <c r="J83" s="345"/>
      <c r="K83" s="374"/>
      <c r="L83" s="357"/>
      <c r="M83" s="493"/>
      <c r="N83" s="627"/>
    </row>
    <row r="84" spans="2:14" ht="22.5" customHeight="1" x14ac:dyDescent="0.3">
      <c r="B84" s="336"/>
      <c r="C84" s="315"/>
      <c r="D84" s="318"/>
      <c r="E84" s="551"/>
      <c r="F84" s="321"/>
      <c r="G84" s="115">
        <v>6</v>
      </c>
      <c r="H84" s="115"/>
      <c r="I84" s="330"/>
      <c r="J84" s="345"/>
      <c r="K84" s="374"/>
      <c r="L84" s="357"/>
      <c r="M84" s="493"/>
      <c r="N84" s="627"/>
    </row>
    <row r="85" spans="2:14" ht="22.5" customHeight="1" x14ac:dyDescent="0.3">
      <c r="B85" s="336"/>
      <c r="C85" s="315"/>
      <c r="D85" s="318"/>
      <c r="E85" s="551"/>
      <c r="F85" s="321"/>
      <c r="G85" s="115">
        <v>7</v>
      </c>
      <c r="H85" s="115"/>
      <c r="I85" s="330"/>
      <c r="J85" s="345"/>
      <c r="K85" s="374"/>
      <c r="L85" s="357"/>
      <c r="M85" s="493"/>
      <c r="N85" s="627"/>
    </row>
    <row r="86" spans="2:14" ht="22.5" customHeight="1" thickBot="1" x14ac:dyDescent="0.35">
      <c r="B86" s="337"/>
      <c r="C86" s="316"/>
      <c r="D86" s="319"/>
      <c r="E86" s="552"/>
      <c r="F86" s="322"/>
      <c r="G86" s="117">
        <v>8</v>
      </c>
      <c r="H86" s="117"/>
      <c r="I86" s="331"/>
      <c r="J86" s="346"/>
      <c r="K86" s="375"/>
      <c r="L86" s="357"/>
      <c r="M86" s="493"/>
      <c r="N86" s="627"/>
    </row>
    <row r="87" spans="2:14" ht="34.9" customHeight="1" x14ac:dyDescent="0.3">
      <c r="B87" s="335" t="str">
        <f>+LEFT(C87,5)</f>
        <v xml:space="preserve">17.4 </v>
      </c>
      <c r="C87" s="314" t="s">
        <v>329</v>
      </c>
      <c r="D87" s="317" t="s">
        <v>234</v>
      </c>
      <c r="E87" s="406" t="s">
        <v>745</v>
      </c>
      <c r="F87" s="320">
        <v>2</v>
      </c>
      <c r="G87" s="118">
        <v>1</v>
      </c>
      <c r="H87" s="248" t="s">
        <v>328</v>
      </c>
      <c r="I87" s="329" t="s">
        <v>745</v>
      </c>
      <c r="J87" s="344">
        <v>3</v>
      </c>
      <c r="K87" s="373" t="str">
        <f>+IF(OR(ISBLANK(F87),ISBLANK(J87)),"",IF(OR(AND(F87=1,J87=1),AND(F87=1,J87=2),AND(F87=1,J87=3)),"Deficiencia de control mayor (diseño y ejecución)",IF(OR(AND(F87=2,J87=2),AND(F87=3,J87=1),AND(F87=3,J87=2),AND(F87=2,J87=1)),"Deficiencia de control (diseño o ejecución)",IF(AND(F87=2,J87=3),"Oportunidad de mejora","Mantenimiento del control"))))</f>
        <v>Oportunidad de mejora</v>
      </c>
      <c r="L87" s="357">
        <f>+IF(K87="",312,IF(K87="Deficiencia de control mayor (diseño y ejecución)",320,IF(K87="Deficiencia de control (diseño o ejecución)",340,IF(K87="Oportunidad de mejora",360,380))))</f>
        <v>360</v>
      </c>
      <c r="M87" s="493">
        <v>6.7854000000000001</v>
      </c>
      <c r="N87" s="627">
        <f>+L87+M87</f>
        <v>366.78539999999998</v>
      </c>
    </row>
    <row r="88" spans="2:14" ht="39" customHeight="1" x14ac:dyDescent="0.3">
      <c r="B88" s="336"/>
      <c r="C88" s="315"/>
      <c r="D88" s="318"/>
      <c r="E88" s="407"/>
      <c r="F88" s="321"/>
      <c r="G88" s="115">
        <v>2</v>
      </c>
      <c r="H88" s="249" t="s">
        <v>318</v>
      </c>
      <c r="I88" s="330"/>
      <c r="J88" s="345"/>
      <c r="K88" s="374"/>
      <c r="L88" s="357"/>
      <c r="M88" s="493"/>
      <c r="N88" s="627"/>
    </row>
    <row r="89" spans="2:14" ht="22.5" customHeight="1" x14ac:dyDescent="0.3">
      <c r="B89" s="336"/>
      <c r="C89" s="315"/>
      <c r="D89" s="318"/>
      <c r="E89" s="407"/>
      <c r="F89" s="321"/>
      <c r="G89" s="115">
        <v>3</v>
      </c>
      <c r="H89" s="115"/>
      <c r="I89" s="330"/>
      <c r="J89" s="345"/>
      <c r="K89" s="374"/>
      <c r="L89" s="357"/>
      <c r="M89" s="493"/>
      <c r="N89" s="627"/>
    </row>
    <row r="90" spans="2:14" ht="22.5" customHeight="1" x14ac:dyDescent="0.3">
      <c r="B90" s="336"/>
      <c r="C90" s="315"/>
      <c r="D90" s="318"/>
      <c r="E90" s="407"/>
      <c r="F90" s="321"/>
      <c r="G90" s="115">
        <v>4</v>
      </c>
      <c r="H90" s="115"/>
      <c r="I90" s="330"/>
      <c r="J90" s="345"/>
      <c r="K90" s="374"/>
      <c r="L90" s="357"/>
      <c r="M90" s="493"/>
      <c r="N90" s="627"/>
    </row>
    <row r="91" spans="2:14" ht="22.5" customHeight="1" x14ac:dyDescent="0.3">
      <c r="B91" s="336"/>
      <c r="C91" s="315"/>
      <c r="D91" s="318"/>
      <c r="E91" s="407"/>
      <c r="F91" s="321"/>
      <c r="G91" s="115">
        <v>5</v>
      </c>
      <c r="H91" s="115"/>
      <c r="I91" s="330"/>
      <c r="J91" s="345"/>
      <c r="K91" s="374"/>
      <c r="L91" s="357"/>
      <c r="M91" s="493"/>
      <c r="N91" s="627"/>
    </row>
    <row r="92" spans="2:14" ht="22.5" customHeight="1" x14ac:dyDescent="0.3">
      <c r="B92" s="336"/>
      <c r="C92" s="315"/>
      <c r="D92" s="318"/>
      <c r="E92" s="407"/>
      <c r="F92" s="321"/>
      <c r="G92" s="115">
        <v>6</v>
      </c>
      <c r="H92" s="115"/>
      <c r="I92" s="330"/>
      <c r="J92" s="345"/>
      <c r="K92" s="374"/>
      <c r="L92" s="357"/>
      <c r="M92" s="493"/>
      <c r="N92" s="627"/>
    </row>
    <row r="93" spans="2:14" ht="22.5" customHeight="1" x14ac:dyDescent="0.3">
      <c r="B93" s="336"/>
      <c r="C93" s="315"/>
      <c r="D93" s="318"/>
      <c r="E93" s="407"/>
      <c r="F93" s="321"/>
      <c r="G93" s="115">
        <v>7</v>
      </c>
      <c r="H93" s="115"/>
      <c r="I93" s="330"/>
      <c r="J93" s="345"/>
      <c r="K93" s="374"/>
      <c r="L93" s="357"/>
      <c r="M93" s="493"/>
      <c r="N93" s="627"/>
    </row>
    <row r="94" spans="2:14" ht="22.5" customHeight="1" thickBot="1" x14ac:dyDescent="0.35">
      <c r="B94" s="337"/>
      <c r="C94" s="316"/>
      <c r="D94" s="319"/>
      <c r="E94" s="408"/>
      <c r="F94" s="322"/>
      <c r="G94" s="117">
        <v>8</v>
      </c>
      <c r="H94" s="117"/>
      <c r="I94" s="331"/>
      <c r="J94" s="346"/>
      <c r="K94" s="375"/>
      <c r="L94" s="357"/>
      <c r="M94" s="493"/>
      <c r="N94" s="627"/>
    </row>
    <row r="95" spans="2:14" ht="34.9" customHeight="1" x14ac:dyDescent="0.3">
      <c r="B95" s="335" t="str">
        <f>+LEFT(C95,5)</f>
        <v xml:space="preserve">17.5 </v>
      </c>
      <c r="C95" s="314" t="s">
        <v>330</v>
      </c>
      <c r="D95" s="317" t="s">
        <v>234</v>
      </c>
      <c r="E95" s="406" t="s">
        <v>746</v>
      </c>
      <c r="F95" s="320">
        <v>3</v>
      </c>
      <c r="G95" s="254">
        <v>1</v>
      </c>
      <c r="H95" s="239" t="s">
        <v>722</v>
      </c>
      <c r="I95" s="617" t="s">
        <v>747</v>
      </c>
      <c r="J95" s="344">
        <v>3</v>
      </c>
      <c r="K95" s="373" t="str">
        <f>+IF(OR(ISBLANK(F95),ISBLANK(J95)),"",IF(OR(AND(F95=1,J95=1),AND(F95=1,J95=2),AND(F95=1,J95=3)),"Deficiencia de control mayor (diseño y ejecución)",IF(OR(AND(F95=2,J95=2),AND(F95=3,J95=1),AND(F95=3,J95=2),AND(F95=2,J95=1)),"Deficiencia de control (diseño o ejecución)",IF(AND(F95=2,J95=3),"Oportunidad de mejora","Mantenimiento del control"))))</f>
        <v>Mantenimiento del control</v>
      </c>
      <c r="L95" s="357">
        <f>+IF(K95="",312,IF(K95="Deficiencia de control mayor (diseño y ejecución)",320,IF(K95="Deficiencia de control (diseño o ejecución)",340,IF(K95="Oportunidad de mejora",360,380))))</f>
        <v>380</v>
      </c>
      <c r="M95" s="493">
        <v>6.8745000000000003</v>
      </c>
      <c r="N95" s="627">
        <f>+L95+M95</f>
        <v>386.87450000000001</v>
      </c>
    </row>
    <row r="96" spans="2:14" ht="33.6" customHeight="1" x14ac:dyDescent="0.3">
      <c r="B96" s="336"/>
      <c r="C96" s="315"/>
      <c r="D96" s="318"/>
      <c r="E96" s="407"/>
      <c r="F96" s="321"/>
      <c r="G96" s="181">
        <v>2</v>
      </c>
      <c r="H96" s="249" t="s">
        <v>517</v>
      </c>
      <c r="I96" s="618"/>
      <c r="J96" s="345"/>
      <c r="K96" s="374"/>
      <c r="L96" s="357"/>
      <c r="M96" s="493"/>
      <c r="N96" s="627"/>
    </row>
    <row r="97" spans="2:14" ht="22.5" customHeight="1" x14ac:dyDescent="0.3">
      <c r="B97" s="336"/>
      <c r="C97" s="315"/>
      <c r="D97" s="318"/>
      <c r="E97" s="407"/>
      <c r="F97" s="321"/>
      <c r="G97" s="181">
        <v>3</v>
      </c>
      <c r="H97" s="249" t="s">
        <v>511</v>
      </c>
      <c r="I97" s="618"/>
      <c r="J97" s="345"/>
      <c r="K97" s="374"/>
      <c r="L97" s="357"/>
      <c r="M97" s="493"/>
      <c r="N97" s="627"/>
    </row>
    <row r="98" spans="2:14" ht="22.5" customHeight="1" x14ac:dyDescent="0.3">
      <c r="B98" s="336"/>
      <c r="C98" s="315"/>
      <c r="D98" s="318"/>
      <c r="E98" s="407"/>
      <c r="F98" s="321"/>
      <c r="G98" s="181">
        <v>4</v>
      </c>
      <c r="H98" s="115"/>
      <c r="I98" s="618"/>
      <c r="J98" s="345"/>
      <c r="K98" s="374"/>
      <c r="L98" s="357"/>
      <c r="M98" s="493"/>
      <c r="N98" s="627"/>
    </row>
    <row r="99" spans="2:14" ht="22.5" customHeight="1" x14ac:dyDescent="0.3">
      <c r="B99" s="336"/>
      <c r="C99" s="315"/>
      <c r="D99" s="318"/>
      <c r="E99" s="407"/>
      <c r="F99" s="321"/>
      <c r="G99" s="181">
        <v>5</v>
      </c>
      <c r="H99" s="249"/>
      <c r="I99" s="618"/>
      <c r="J99" s="345"/>
      <c r="K99" s="374"/>
      <c r="L99" s="357"/>
      <c r="M99" s="493"/>
      <c r="N99" s="627"/>
    </row>
    <row r="100" spans="2:14" ht="22.5" customHeight="1" x14ac:dyDescent="0.3">
      <c r="B100" s="336"/>
      <c r="C100" s="315"/>
      <c r="D100" s="318"/>
      <c r="E100" s="407"/>
      <c r="F100" s="321"/>
      <c r="G100" s="181">
        <v>6</v>
      </c>
      <c r="H100" s="115"/>
      <c r="I100" s="618"/>
      <c r="J100" s="345"/>
      <c r="K100" s="374"/>
      <c r="L100" s="357"/>
      <c r="M100" s="493"/>
      <c r="N100" s="627"/>
    </row>
    <row r="101" spans="2:14" ht="22.5" customHeight="1" x14ac:dyDescent="0.3">
      <c r="B101" s="336"/>
      <c r="C101" s="315"/>
      <c r="D101" s="318"/>
      <c r="E101" s="407"/>
      <c r="F101" s="321"/>
      <c r="G101" s="181">
        <v>7</v>
      </c>
      <c r="H101" s="115"/>
      <c r="I101" s="618"/>
      <c r="J101" s="345"/>
      <c r="K101" s="374"/>
      <c r="L101" s="357"/>
      <c r="M101" s="493"/>
      <c r="N101" s="627"/>
    </row>
    <row r="102" spans="2:14" ht="22.5" customHeight="1" thickBot="1" x14ac:dyDescent="0.35">
      <c r="B102" s="337"/>
      <c r="C102" s="316"/>
      <c r="D102" s="319"/>
      <c r="E102" s="408"/>
      <c r="F102" s="322"/>
      <c r="G102" s="117">
        <v>8</v>
      </c>
      <c r="H102" s="117"/>
      <c r="I102" s="391"/>
      <c r="J102" s="346"/>
      <c r="K102" s="375"/>
      <c r="L102" s="357"/>
      <c r="M102" s="493"/>
      <c r="N102" s="627"/>
    </row>
    <row r="103" spans="2:14" ht="22.5" customHeight="1" x14ac:dyDescent="0.3">
      <c r="B103" s="335" t="str">
        <f>+LEFT(C103,5)</f>
        <v xml:space="preserve">17.6 </v>
      </c>
      <c r="C103" s="314" t="s">
        <v>331</v>
      </c>
      <c r="D103" s="317" t="s">
        <v>332</v>
      </c>
      <c r="E103" s="406" t="s">
        <v>748</v>
      </c>
      <c r="F103" s="320">
        <v>3</v>
      </c>
      <c r="G103" s="118">
        <v>1</v>
      </c>
      <c r="H103" s="248" t="s">
        <v>711</v>
      </c>
      <c r="I103" s="617" t="s">
        <v>748</v>
      </c>
      <c r="J103" s="344">
        <v>3</v>
      </c>
      <c r="K103" s="373" t="str">
        <f>+IF(OR(ISBLANK(F103),ISBLANK(J103)),"",IF(OR(AND(F103=1,J103=1),AND(F103=1,J103=2),AND(F103=1,J103=3)),"Deficiencia de control mayor (diseño y ejecución)",IF(OR(AND(F103=2,J103=2),AND(F103=3,J103=1),AND(F103=3,J103=2),AND(F103=2,J103=1)),"Deficiencia de control (diseño o ejecución)",IF(AND(F103=2,J103=3),"Oportunidad de mejora","Mantenimiento del control"))))</f>
        <v>Mantenimiento del control</v>
      </c>
      <c r="L103" s="357">
        <f>+IF(K103="",312,IF(K103="Deficiencia de control mayor (diseño y ejecución)",320,IF(K103="Deficiencia de control (diseño o ejecución)",340,IF(K103="Oportunidad de mejora",360,380))))</f>
        <v>380</v>
      </c>
      <c r="M103" s="493">
        <v>6.9874000000000001</v>
      </c>
      <c r="N103" s="627">
        <f>+L103+M103</f>
        <v>386.98739999999998</v>
      </c>
    </row>
    <row r="104" spans="2:14" ht="50.25" customHeight="1" x14ac:dyDescent="0.3">
      <c r="B104" s="336"/>
      <c r="C104" s="315"/>
      <c r="D104" s="318"/>
      <c r="E104" s="407"/>
      <c r="F104" s="321"/>
      <c r="G104" s="115">
        <v>2</v>
      </c>
      <c r="H104" s="249" t="s">
        <v>713</v>
      </c>
      <c r="I104" s="618"/>
      <c r="J104" s="345"/>
      <c r="K104" s="374"/>
      <c r="L104" s="357"/>
      <c r="M104" s="493"/>
      <c r="N104" s="627"/>
    </row>
    <row r="105" spans="2:14" ht="34.9" customHeight="1" x14ac:dyDescent="0.3">
      <c r="B105" s="336"/>
      <c r="C105" s="315"/>
      <c r="D105" s="318"/>
      <c r="E105" s="407"/>
      <c r="F105" s="321"/>
      <c r="G105" s="115">
        <v>3</v>
      </c>
      <c r="H105" s="249"/>
      <c r="I105" s="618"/>
      <c r="J105" s="345"/>
      <c r="K105" s="374"/>
      <c r="L105" s="357"/>
      <c r="M105" s="493"/>
      <c r="N105" s="627"/>
    </row>
    <row r="106" spans="2:14" ht="22.5" customHeight="1" x14ac:dyDescent="0.3">
      <c r="B106" s="336"/>
      <c r="C106" s="315"/>
      <c r="D106" s="318"/>
      <c r="E106" s="407"/>
      <c r="F106" s="321"/>
      <c r="G106" s="115">
        <v>4</v>
      </c>
      <c r="H106" s="115"/>
      <c r="I106" s="618"/>
      <c r="J106" s="345"/>
      <c r="K106" s="374"/>
      <c r="L106" s="357"/>
      <c r="M106" s="493"/>
      <c r="N106" s="627"/>
    </row>
    <row r="107" spans="2:14" ht="22.5" customHeight="1" x14ac:dyDescent="0.3">
      <c r="B107" s="336"/>
      <c r="C107" s="315"/>
      <c r="D107" s="318"/>
      <c r="E107" s="407"/>
      <c r="F107" s="321"/>
      <c r="G107" s="115">
        <v>5</v>
      </c>
      <c r="H107" s="115"/>
      <c r="I107" s="618"/>
      <c r="J107" s="345"/>
      <c r="K107" s="374"/>
      <c r="L107" s="357"/>
      <c r="M107" s="493"/>
      <c r="N107" s="627"/>
    </row>
    <row r="108" spans="2:14" ht="22.5" customHeight="1" x14ac:dyDescent="0.3">
      <c r="B108" s="336"/>
      <c r="C108" s="315"/>
      <c r="D108" s="318"/>
      <c r="E108" s="407"/>
      <c r="F108" s="321"/>
      <c r="G108" s="115">
        <v>6</v>
      </c>
      <c r="H108" s="115"/>
      <c r="I108" s="618"/>
      <c r="J108" s="345"/>
      <c r="K108" s="374"/>
      <c r="L108" s="357"/>
      <c r="M108" s="493"/>
      <c r="N108" s="627"/>
    </row>
    <row r="109" spans="2:14" ht="22.5" customHeight="1" x14ac:dyDescent="0.3">
      <c r="B109" s="336"/>
      <c r="C109" s="315"/>
      <c r="D109" s="318"/>
      <c r="E109" s="407"/>
      <c r="F109" s="321"/>
      <c r="G109" s="115">
        <v>7</v>
      </c>
      <c r="H109" s="115"/>
      <c r="I109" s="618"/>
      <c r="J109" s="345"/>
      <c r="K109" s="374"/>
      <c r="L109" s="357"/>
      <c r="M109" s="493"/>
      <c r="N109" s="627"/>
    </row>
    <row r="110" spans="2:14" ht="22.5" customHeight="1" thickBot="1" x14ac:dyDescent="0.35">
      <c r="B110" s="337"/>
      <c r="C110" s="316"/>
      <c r="D110" s="319"/>
      <c r="E110" s="408"/>
      <c r="F110" s="322"/>
      <c r="G110" s="117">
        <v>8</v>
      </c>
      <c r="H110" s="117"/>
      <c r="I110" s="391"/>
      <c r="J110" s="346"/>
      <c r="K110" s="375"/>
      <c r="L110" s="357"/>
      <c r="M110" s="493"/>
      <c r="N110" s="627"/>
    </row>
    <row r="111" spans="2:14" ht="43.5" customHeight="1" x14ac:dyDescent="0.3">
      <c r="B111" s="335" t="str">
        <f>+LEFT(C111,5)</f>
        <v xml:space="preserve">17.7 </v>
      </c>
      <c r="C111" s="499" t="s">
        <v>333</v>
      </c>
      <c r="D111" s="317" t="s">
        <v>334</v>
      </c>
      <c r="E111" s="303" t="s">
        <v>749</v>
      </c>
      <c r="F111" s="320">
        <v>3</v>
      </c>
      <c r="G111" s="118">
        <v>1</v>
      </c>
      <c r="H111" s="248" t="s">
        <v>518</v>
      </c>
      <c r="I111" s="329" t="s">
        <v>750</v>
      </c>
      <c r="J111" s="344">
        <v>3</v>
      </c>
      <c r="K111" s="326" t="str">
        <f>+IF(OR(ISBLANK(F111),ISBLANK(J111)),"",IF(OR(AND(F111=1,J111=1),AND(F111=1,J111=2),AND(F111=1,J111=3)),"Deficiencia de control mayor (diseño y ejecución)",IF(OR(AND(F111=2,J111=2),AND(F111=3,J111=1),AND(F111=3,J111=2),AND(F111=2,J111=1)),"Deficiencia de control (diseño o ejecución)",IF(AND(F111=2,J111=3),"Oportunidad de mejora","Mantenimiento del control"))))</f>
        <v>Mantenimiento del control</v>
      </c>
      <c r="L111" s="357">
        <f>+IF(K111="",312,IF(K111="Deficiencia de control mayor (diseño y ejecución)",320,IF(K111="Deficiencia de control (diseño o ejecución)",340,IF(K111="Oportunidad de mejora",360,380))))</f>
        <v>380</v>
      </c>
      <c r="M111" s="493">
        <v>6.9874499999999999</v>
      </c>
      <c r="N111" s="627">
        <f>+L111+M111</f>
        <v>386.98745000000002</v>
      </c>
    </row>
    <row r="112" spans="2:14" ht="35.25" customHeight="1" x14ac:dyDescent="0.3">
      <c r="B112" s="336"/>
      <c r="C112" s="500"/>
      <c r="D112" s="318"/>
      <c r="E112" s="304"/>
      <c r="F112" s="321"/>
      <c r="G112" s="115">
        <v>2</v>
      </c>
      <c r="H112" s="249" t="s">
        <v>519</v>
      </c>
      <c r="I112" s="330"/>
      <c r="J112" s="345"/>
      <c r="K112" s="327"/>
      <c r="L112" s="357"/>
      <c r="M112" s="493"/>
      <c r="N112" s="627"/>
    </row>
    <row r="113" spans="2:14" ht="22.5" customHeight="1" x14ac:dyDescent="0.3">
      <c r="B113" s="336"/>
      <c r="C113" s="500"/>
      <c r="D113" s="318"/>
      <c r="E113" s="304"/>
      <c r="F113" s="321"/>
      <c r="G113" s="115">
        <v>3</v>
      </c>
      <c r="H113" s="115"/>
      <c r="I113" s="330"/>
      <c r="J113" s="345"/>
      <c r="K113" s="327"/>
      <c r="L113" s="357"/>
      <c r="M113" s="493"/>
      <c r="N113" s="627"/>
    </row>
    <row r="114" spans="2:14" ht="22.5" customHeight="1" x14ac:dyDescent="0.3">
      <c r="B114" s="336"/>
      <c r="C114" s="500"/>
      <c r="D114" s="318"/>
      <c r="E114" s="304"/>
      <c r="F114" s="321"/>
      <c r="G114" s="115">
        <v>4</v>
      </c>
      <c r="H114" s="115"/>
      <c r="I114" s="330"/>
      <c r="J114" s="345"/>
      <c r="K114" s="327"/>
      <c r="L114" s="357"/>
      <c r="M114" s="493"/>
      <c r="N114" s="627"/>
    </row>
    <row r="115" spans="2:14" ht="22.5" customHeight="1" x14ac:dyDescent="0.3">
      <c r="B115" s="336"/>
      <c r="C115" s="500"/>
      <c r="D115" s="318"/>
      <c r="E115" s="304"/>
      <c r="F115" s="321"/>
      <c r="G115" s="115">
        <v>5</v>
      </c>
      <c r="H115" s="115"/>
      <c r="I115" s="330"/>
      <c r="J115" s="345"/>
      <c r="K115" s="327"/>
      <c r="L115" s="357"/>
      <c r="M115" s="493"/>
      <c r="N115" s="627"/>
    </row>
    <row r="116" spans="2:14" ht="22.5" customHeight="1" x14ac:dyDescent="0.3">
      <c r="B116" s="336"/>
      <c r="C116" s="500"/>
      <c r="D116" s="318"/>
      <c r="E116" s="304"/>
      <c r="F116" s="321"/>
      <c r="G116" s="115">
        <v>6</v>
      </c>
      <c r="H116" s="115"/>
      <c r="I116" s="330"/>
      <c r="J116" s="345"/>
      <c r="K116" s="327"/>
      <c r="L116" s="357"/>
      <c r="M116" s="493"/>
      <c r="N116" s="627"/>
    </row>
    <row r="117" spans="2:14" ht="22.5" customHeight="1" x14ac:dyDescent="0.3">
      <c r="B117" s="336"/>
      <c r="C117" s="500"/>
      <c r="D117" s="318"/>
      <c r="E117" s="304"/>
      <c r="F117" s="321"/>
      <c r="G117" s="115">
        <v>7</v>
      </c>
      <c r="H117" s="115"/>
      <c r="I117" s="330"/>
      <c r="J117" s="345"/>
      <c r="K117" s="327"/>
      <c r="L117" s="357"/>
      <c r="M117" s="493"/>
      <c r="N117" s="627"/>
    </row>
    <row r="118" spans="2:14" ht="22.5" customHeight="1" thickBot="1" x14ac:dyDescent="0.35">
      <c r="B118" s="337"/>
      <c r="C118" s="501"/>
      <c r="D118" s="319"/>
      <c r="E118" s="305"/>
      <c r="F118" s="322"/>
      <c r="G118" s="117">
        <v>8</v>
      </c>
      <c r="H118" s="117"/>
      <c r="I118" s="331"/>
      <c r="J118" s="346"/>
      <c r="K118" s="328"/>
      <c r="L118" s="357"/>
      <c r="M118" s="493"/>
      <c r="N118" s="627"/>
    </row>
    <row r="119" spans="2:14" ht="30" customHeight="1" x14ac:dyDescent="0.3">
      <c r="B119" s="335" t="str">
        <f>+LEFT(C119,5)</f>
        <v xml:space="preserve">17.8 </v>
      </c>
      <c r="C119" s="499" t="s">
        <v>335</v>
      </c>
      <c r="D119" s="317" t="s">
        <v>334</v>
      </c>
      <c r="E119" s="303" t="s">
        <v>753</v>
      </c>
      <c r="F119" s="320">
        <v>3</v>
      </c>
      <c r="G119" s="114">
        <v>1</v>
      </c>
      <c r="H119" s="239" t="s">
        <v>518</v>
      </c>
      <c r="I119" s="329" t="s">
        <v>753</v>
      </c>
      <c r="J119" s="344">
        <v>3</v>
      </c>
      <c r="K119" s="326" t="str">
        <f>+IF(OR(ISBLANK(F119),ISBLANK(J119)),"",IF(OR(AND(F119=1,J119=1),AND(F119=1,J119=2),AND(F119=1,J119=3)),"Deficiencia de control mayor (diseño y ejecución)",IF(OR(AND(F119=2,J119=2),AND(F119=3,J119=1),AND(F119=3,J119=2),AND(F119=2,J119=1)),"Deficiencia de control (diseño o ejecución)",IF(AND(F119=2,J119=3),"Oportunidad de mejora","Mantenimiento del control"))))</f>
        <v>Mantenimiento del control</v>
      </c>
      <c r="L119" s="357">
        <f>+IF(K119="",312,IF(K119="Deficiencia de control mayor (diseño y ejecución)",320,IF(K119="Deficiencia de control (diseño o ejecución)",340,IF(K119="Oportunidad de mejora",360,380))))</f>
        <v>380</v>
      </c>
      <c r="M119" s="493">
        <v>6.9874559999999999</v>
      </c>
      <c r="N119" s="627">
        <f>+L119+M119</f>
        <v>386.98745600000001</v>
      </c>
    </row>
    <row r="120" spans="2:14" ht="33.75" customHeight="1" x14ac:dyDescent="0.3">
      <c r="B120" s="336"/>
      <c r="C120" s="500"/>
      <c r="D120" s="318"/>
      <c r="E120" s="304"/>
      <c r="F120" s="321"/>
      <c r="G120" s="115">
        <v>2</v>
      </c>
      <c r="H120" s="249" t="s">
        <v>520</v>
      </c>
      <c r="I120" s="330"/>
      <c r="J120" s="345"/>
      <c r="K120" s="327"/>
      <c r="L120" s="357"/>
      <c r="M120" s="493"/>
      <c r="N120" s="627"/>
    </row>
    <row r="121" spans="2:14" ht="22.5" customHeight="1" x14ac:dyDescent="0.3">
      <c r="B121" s="336"/>
      <c r="C121" s="500"/>
      <c r="D121" s="318"/>
      <c r="E121" s="304"/>
      <c r="F121" s="321"/>
      <c r="G121" s="115">
        <v>3</v>
      </c>
      <c r="H121" s="115"/>
      <c r="I121" s="330"/>
      <c r="J121" s="345"/>
      <c r="K121" s="327"/>
      <c r="L121" s="357"/>
      <c r="M121" s="493"/>
      <c r="N121" s="627"/>
    </row>
    <row r="122" spans="2:14" ht="22.5" customHeight="1" x14ac:dyDescent="0.3">
      <c r="B122" s="336"/>
      <c r="C122" s="500"/>
      <c r="D122" s="318"/>
      <c r="E122" s="304"/>
      <c r="F122" s="321"/>
      <c r="G122" s="115">
        <v>4</v>
      </c>
      <c r="H122" s="115"/>
      <c r="I122" s="330"/>
      <c r="J122" s="345"/>
      <c r="K122" s="327"/>
      <c r="L122" s="357"/>
      <c r="M122" s="493"/>
      <c r="N122" s="627"/>
    </row>
    <row r="123" spans="2:14" ht="22.5" customHeight="1" x14ac:dyDescent="0.3">
      <c r="B123" s="336"/>
      <c r="C123" s="500"/>
      <c r="D123" s="318"/>
      <c r="E123" s="304"/>
      <c r="F123" s="321"/>
      <c r="G123" s="115">
        <v>5</v>
      </c>
      <c r="H123" s="115"/>
      <c r="I123" s="330"/>
      <c r="J123" s="345"/>
      <c r="K123" s="327"/>
      <c r="L123" s="357"/>
      <c r="M123" s="493"/>
      <c r="N123" s="627"/>
    </row>
    <row r="124" spans="2:14" ht="22.5" customHeight="1" x14ac:dyDescent="0.3">
      <c r="B124" s="336"/>
      <c r="C124" s="500"/>
      <c r="D124" s="318"/>
      <c r="E124" s="304"/>
      <c r="F124" s="321"/>
      <c r="G124" s="115">
        <v>6</v>
      </c>
      <c r="H124" s="115"/>
      <c r="I124" s="330"/>
      <c r="J124" s="345"/>
      <c r="K124" s="327"/>
      <c r="L124" s="357"/>
      <c r="M124" s="493"/>
      <c r="N124" s="627"/>
    </row>
    <row r="125" spans="2:14" ht="22.5" customHeight="1" x14ac:dyDescent="0.3">
      <c r="B125" s="336"/>
      <c r="C125" s="500"/>
      <c r="D125" s="318"/>
      <c r="E125" s="304"/>
      <c r="F125" s="321"/>
      <c r="G125" s="115">
        <v>7</v>
      </c>
      <c r="H125" s="115"/>
      <c r="I125" s="330"/>
      <c r="J125" s="345"/>
      <c r="K125" s="327"/>
      <c r="L125" s="357"/>
      <c r="M125" s="493"/>
      <c r="N125" s="627"/>
    </row>
    <row r="126" spans="2:14" ht="37.5" customHeight="1" thickBot="1" x14ac:dyDescent="0.35">
      <c r="B126" s="337"/>
      <c r="C126" s="501"/>
      <c r="D126" s="319"/>
      <c r="E126" s="305"/>
      <c r="F126" s="322"/>
      <c r="G126" s="117">
        <v>8</v>
      </c>
      <c r="H126" s="117"/>
      <c r="I126" s="331"/>
      <c r="J126" s="346"/>
      <c r="K126" s="328"/>
      <c r="L126" s="357"/>
      <c r="M126" s="493"/>
      <c r="N126" s="627"/>
    </row>
    <row r="127" spans="2:14" ht="30.6" customHeight="1" x14ac:dyDescent="0.3">
      <c r="B127" s="335" t="str">
        <f>+LEFT(C127,5)</f>
        <v xml:space="preserve">17.9 </v>
      </c>
      <c r="C127" s="314" t="s">
        <v>336</v>
      </c>
      <c r="D127" s="317" t="s">
        <v>334</v>
      </c>
      <c r="E127" s="406" t="s">
        <v>754</v>
      </c>
      <c r="F127" s="320">
        <v>3</v>
      </c>
      <c r="G127" s="118">
        <v>1</v>
      </c>
      <c r="H127" s="248" t="s">
        <v>328</v>
      </c>
      <c r="I127" s="629" t="s">
        <v>754</v>
      </c>
      <c r="J127" s="344">
        <v>3</v>
      </c>
      <c r="K127" s="373" t="str">
        <f>+IF(OR(ISBLANK(F127),ISBLANK(J127)),"",IF(OR(AND(F127=1,J127=1),AND(F127=1,J127=2),AND(F127=1,J127=3)),"Deficiencia de control mayor (diseño y ejecución)",IF(OR(AND(F127=2,J127=2),AND(F127=3,J127=1),AND(F127=3,J127=2),AND(F127=2,J127=1)),"Deficiencia de control (diseño o ejecución)",IF(AND(F127=2,J127=3),"Oportunidad de mejora","Mantenimiento del control"))))</f>
        <v>Mantenimiento del control</v>
      </c>
      <c r="L127" s="357">
        <f>+IF(K127="",312,IF(K127="Deficiencia de control mayor (diseño y ejecución)",320,IF(K127="Deficiencia de control (diseño o ejecución)",340,IF(K127="Oportunidad de mejora",360,380))))</f>
        <v>380</v>
      </c>
      <c r="M127" s="493">
        <v>7.0122999999999998</v>
      </c>
      <c r="N127" s="627">
        <f>+L127+M127</f>
        <v>387.01229999999998</v>
      </c>
    </row>
    <row r="128" spans="2:14" ht="28.15" customHeight="1" x14ac:dyDescent="0.3">
      <c r="B128" s="336"/>
      <c r="C128" s="315"/>
      <c r="D128" s="318"/>
      <c r="E128" s="407"/>
      <c r="F128" s="321"/>
      <c r="G128" s="115">
        <v>2</v>
      </c>
      <c r="H128" s="249" t="s">
        <v>318</v>
      </c>
      <c r="I128" s="630"/>
      <c r="J128" s="345"/>
      <c r="K128" s="374"/>
      <c r="L128" s="357"/>
      <c r="M128" s="493"/>
      <c r="N128" s="627"/>
    </row>
    <row r="129" spans="2:14" ht="22.5" customHeight="1" x14ac:dyDescent="0.3">
      <c r="B129" s="336"/>
      <c r="C129" s="315"/>
      <c r="D129" s="318"/>
      <c r="E129" s="407"/>
      <c r="F129" s="321"/>
      <c r="G129" s="115">
        <v>3</v>
      </c>
      <c r="H129" s="115"/>
      <c r="I129" s="630"/>
      <c r="J129" s="345"/>
      <c r="K129" s="374"/>
      <c r="L129" s="357"/>
      <c r="M129" s="493"/>
      <c r="N129" s="627"/>
    </row>
    <row r="130" spans="2:14" ht="22.5" customHeight="1" x14ac:dyDescent="0.3">
      <c r="B130" s="336"/>
      <c r="C130" s="315"/>
      <c r="D130" s="318"/>
      <c r="E130" s="407"/>
      <c r="F130" s="321"/>
      <c r="G130" s="115">
        <v>4</v>
      </c>
      <c r="H130" s="115"/>
      <c r="I130" s="630"/>
      <c r="J130" s="345"/>
      <c r="K130" s="374"/>
      <c r="L130" s="357"/>
      <c r="M130" s="493"/>
      <c r="N130" s="627"/>
    </row>
    <row r="131" spans="2:14" ht="22.5" customHeight="1" x14ac:dyDescent="0.3">
      <c r="B131" s="336"/>
      <c r="C131" s="315"/>
      <c r="D131" s="318"/>
      <c r="E131" s="407"/>
      <c r="F131" s="321"/>
      <c r="G131" s="115">
        <v>5</v>
      </c>
      <c r="H131" s="115"/>
      <c r="I131" s="630"/>
      <c r="J131" s="345"/>
      <c r="K131" s="374"/>
      <c r="L131" s="357"/>
      <c r="M131" s="493"/>
      <c r="N131" s="627"/>
    </row>
    <row r="132" spans="2:14" ht="22.5" customHeight="1" x14ac:dyDescent="0.3">
      <c r="B132" s="336"/>
      <c r="C132" s="315"/>
      <c r="D132" s="318"/>
      <c r="E132" s="407"/>
      <c r="F132" s="321"/>
      <c r="G132" s="115">
        <v>6</v>
      </c>
      <c r="H132" s="115"/>
      <c r="I132" s="630"/>
      <c r="J132" s="345"/>
      <c r="K132" s="374"/>
      <c r="L132" s="357"/>
      <c r="M132" s="493"/>
      <c r="N132" s="627"/>
    </row>
    <row r="133" spans="2:14" ht="22.5" customHeight="1" x14ac:dyDescent="0.3">
      <c r="B133" s="336"/>
      <c r="C133" s="315"/>
      <c r="D133" s="318"/>
      <c r="E133" s="407"/>
      <c r="F133" s="321"/>
      <c r="G133" s="115">
        <v>7</v>
      </c>
      <c r="H133" s="115"/>
      <c r="I133" s="630"/>
      <c r="J133" s="345"/>
      <c r="K133" s="374"/>
      <c r="L133" s="357"/>
      <c r="M133" s="493"/>
      <c r="N133" s="627"/>
    </row>
    <row r="134" spans="2:14" ht="3" customHeight="1" thickBot="1" x14ac:dyDescent="0.35">
      <c r="B134" s="337"/>
      <c r="C134" s="316"/>
      <c r="D134" s="319"/>
      <c r="E134" s="408"/>
      <c r="F134" s="322"/>
      <c r="G134" s="117">
        <v>8</v>
      </c>
      <c r="H134" s="117"/>
      <c r="I134" s="631"/>
      <c r="J134" s="346"/>
      <c r="K134" s="375"/>
      <c r="L134" s="357"/>
      <c r="M134" s="493"/>
      <c r="N134" s="627"/>
    </row>
  </sheetData>
  <sheetProtection algorithmName="SHA-512" hashValue="/tR0gKwhLUIcI41yyV/9oHtI8OFb9GS6nBTWkL/cEQd+nJxyYqlDCIi7nBBZ1npnuwPsuGxD7EEQrWa0+uFnFg==" saltValue="rXYnqHjtiEc5Az5h9Unf3A==" spinCount="100000" sheet="1" objects="1" scenarios="1" formatCells="0" formatColumns="0" formatRows="0"/>
  <mergeCells count="184">
    <mergeCell ref="L111:L118"/>
    <mergeCell ref="L119:L126"/>
    <mergeCell ref="M111:M118"/>
    <mergeCell ref="M119:M126"/>
    <mergeCell ref="N111:N118"/>
    <mergeCell ref="N119:N126"/>
    <mergeCell ref="I127:I134"/>
    <mergeCell ref="I28:I35"/>
    <mergeCell ref="I36:I43"/>
    <mergeCell ref="I44:I51"/>
    <mergeCell ref="I52:I59"/>
    <mergeCell ref="I63:I70"/>
    <mergeCell ref="I71:I78"/>
    <mergeCell ref="I79:I86"/>
    <mergeCell ref="I87:I94"/>
    <mergeCell ref="I95:I102"/>
    <mergeCell ref="N79:N86"/>
    <mergeCell ref="N87:N94"/>
    <mergeCell ref="N95:N102"/>
    <mergeCell ref="N103:N110"/>
    <mergeCell ref="N127:N134"/>
    <mergeCell ref="L79:L86"/>
    <mergeCell ref="L87:L94"/>
    <mergeCell ref="L95:L102"/>
    <mergeCell ref="N17:N19"/>
    <mergeCell ref="N20:N27"/>
    <mergeCell ref="N28:N35"/>
    <mergeCell ref="N36:N43"/>
    <mergeCell ref="N44:N51"/>
    <mergeCell ref="N52:N59"/>
    <mergeCell ref="N60:N62"/>
    <mergeCell ref="N63:N70"/>
    <mergeCell ref="N71:N78"/>
    <mergeCell ref="L103:L110"/>
    <mergeCell ref="L127:L134"/>
    <mergeCell ref="M17:M19"/>
    <mergeCell ref="M20:M27"/>
    <mergeCell ref="M28:M35"/>
    <mergeCell ref="M36:M43"/>
    <mergeCell ref="M44:M51"/>
    <mergeCell ref="M52:M59"/>
    <mergeCell ref="M60:M62"/>
    <mergeCell ref="M63:M70"/>
    <mergeCell ref="M71:M78"/>
    <mergeCell ref="M79:M86"/>
    <mergeCell ref="M87:M94"/>
    <mergeCell ref="M95:M102"/>
    <mergeCell ref="M103:M110"/>
    <mergeCell ref="M127:M134"/>
    <mergeCell ref="L17:L19"/>
    <mergeCell ref="L20:L27"/>
    <mergeCell ref="L28:L35"/>
    <mergeCell ref="L36:L43"/>
    <mergeCell ref="L44:L51"/>
    <mergeCell ref="L52:L59"/>
    <mergeCell ref="L60:L62"/>
    <mergeCell ref="L63:L70"/>
    <mergeCell ref="L71:L78"/>
    <mergeCell ref="C36:C43"/>
    <mergeCell ref="E36:E43"/>
    <mergeCell ref="F36:F43"/>
    <mergeCell ref="C71:C78"/>
    <mergeCell ref="E71:E78"/>
    <mergeCell ref="F71:F78"/>
    <mergeCell ref="C63:C70"/>
    <mergeCell ref="E63:E70"/>
    <mergeCell ref="F63:F70"/>
    <mergeCell ref="C52:C59"/>
    <mergeCell ref="E52:E59"/>
    <mergeCell ref="D71:D78"/>
    <mergeCell ref="D52:D59"/>
    <mergeCell ref="D63:D70"/>
    <mergeCell ref="C60:C62"/>
    <mergeCell ref="J63:J70"/>
    <mergeCell ref="J52:J59"/>
    <mergeCell ref="J60:J62"/>
    <mergeCell ref="D36:D43"/>
    <mergeCell ref="J36:J43"/>
    <mergeCell ref="F60:F62"/>
    <mergeCell ref="E60:E62"/>
    <mergeCell ref="D44:D51"/>
    <mergeCell ref="J79:J86"/>
    <mergeCell ref="J87:J94"/>
    <mergeCell ref="C79:C86"/>
    <mergeCell ref="E79:E86"/>
    <mergeCell ref="F79:F86"/>
    <mergeCell ref="D79:D86"/>
    <mergeCell ref="D87:D94"/>
    <mergeCell ref="C87:C94"/>
    <mergeCell ref="E87:E94"/>
    <mergeCell ref="F87:F94"/>
    <mergeCell ref="D103:D110"/>
    <mergeCell ref="J95:J102"/>
    <mergeCell ref="J103:J110"/>
    <mergeCell ref="D95:D102"/>
    <mergeCell ref="C103:C110"/>
    <mergeCell ref="E103:E110"/>
    <mergeCell ref="F103:F110"/>
    <mergeCell ref="C95:C102"/>
    <mergeCell ref="E95:E102"/>
    <mergeCell ref="F95:F102"/>
    <mergeCell ref="I103:I110"/>
    <mergeCell ref="E44:E51"/>
    <mergeCell ref="F44:F51"/>
    <mergeCell ref="J44:J51"/>
    <mergeCell ref="I61:I62"/>
    <mergeCell ref="G60:I60"/>
    <mergeCell ref="G61:G62"/>
    <mergeCell ref="F52:F59"/>
    <mergeCell ref="D60:D62"/>
    <mergeCell ref="H61:H62"/>
    <mergeCell ref="C14:K14"/>
    <mergeCell ref="C15:K15"/>
    <mergeCell ref="K20:K27"/>
    <mergeCell ref="K28:K35"/>
    <mergeCell ref="D17:D19"/>
    <mergeCell ref="C20:C27"/>
    <mergeCell ref="E20:E27"/>
    <mergeCell ref="F20:F27"/>
    <mergeCell ref="G18:G19"/>
    <mergeCell ref="C17:C19"/>
    <mergeCell ref="F17:F19"/>
    <mergeCell ref="G17:I17"/>
    <mergeCell ref="I18:I19"/>
    <mergeCell ref="E17:E19"/>
    <mergeCell ref="J17:J19"/>
    <mergeCell ref="C28:C35"/>
    <mergeCell ref="D28:D35"/>
    <mergeCell ref="E28:E35"/>
    <mergeCell ref="F28:F35"/>
    <mergeCell ref="J28:J35"/>
    <mergeCell ref="D20:D27"/>
    <mergeCell ref="J20:J27"/>
    <mergeCell ref="H18:H19"/>
    <mergeCell ref="I20:I27"/>
    <mergeCell ref="B17:B19"/>
    <mergeCell ref="B20:B27"/>
    <mergeCell ref="B28:B35"/>
    <mergeCell ref="B36:B43"/>
    <mergeCell ref="B44:B51"/>
    <mergeCell ref="K127:K134"/>
    <mergeCell ref="K71:K78"/>
    <mergeCell ref="K79:K86"/>
    <mergeCell ref="K87:K94"/>
    <mergeCell ref="K95:K102"/>
    <mergeCell ref="K103:K110"/>
    <mergeCell ref="K36:K43"/>
    <mergeCell ref="K44:K51"/>
    <mergeCell ref="K52:K59"/>
    <mergeCell ref="K60:K62"/>
    <mergeCell ref="K63:K70"/>
    <mergeCell ref="K17:K19"/>
    <mergeCell ref="C127:C134"/>
    <mergeCell ref="D127:D134"/>
    <mergeCell ref="E127:E134"/>
    <mergeCell ref="F127:F134"/>
    <mergeCell ref="J127:J134"/>
    <mergeCell ref="J71:J78"/>
    <mergeCell ref="C44:C51"/>
    <mergeCell ref="B87:B94"/>
    <mergeCell ref="B95:B102"/>
    <mergeCell ref="B103:B110"/>
    <mergeCell ref="B127:B134"/>
    <mergeCell ref="B52:B59"/>
    <mergeCell ref="B60:B62"/>
    <mergeCell ref="B63:B70"/>
    <mergeCell ref="B71:B78"/>
    <mergeCell ref="B79:B86"/>
    <mergeCell ref="B111:B118"/>
    <mergeCell ref="B119:B126"/>
    <mergeCell ref="D119:D126"/>
    <mergeCell ref="E119:E126"/>
    <mergeCell ref="F119:F126"/>
    <mergeCell ref="I119:I126"/>
    <mergeCell ref="J119:J126"/>
    <mergeCell ref="K119:K126"/>
    <mergeCell ref="C119:C126"/>
    <mergeCell ref="C111:C118"/>
    <mergeCell ref="D111:D118"/>
    <mergeCell ref="E111:E118"/>
    <mergeCell ref="F111:F118"/>
    <mergeCell ref="J111:J118"/>
    <mergeCell ref="K111:K118"/>
    <mergeCell ref="I111:I118"/>
  </mergeCells>
  <dataValidations count="1">
    <dataValidation type="list" allowBlank="1" showInputMessage="1" showErrorMessage="1" sqref="J20:J59 F20:F59 F63:F134 J63:J134">
      <formula1>"1,2,3"</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048570"/>
  <sheetViews>
    <sheetView topLeftCell="A61" zoomScale="80" zoomScaleNormal="80" workbookViewId="0">
      <selection activeCell="B95" sqref="B95"/>
    </sheetView>
  </sheetViews>
  <sheetFormatPr baseColWidth="10" defaultColWidth="11.42578125" defaultRowHeight="12.75" x14ac:dyDescent="0.2"/>
  <cols>
    <col min="1" max="1" width="2.42578125" style="48" customWidth="1"/>
    <col min="2" max="2" width="25.140625" style="48" customWidth="1"/>
    <col min="3" max="3" width="24.140625" style="48" customWidth="1"/>
    <col min="4" max="4" width="24.28515625" style="48" customWidth="1"/>
    <col min="5" max="5" width="34.85546875" style="48" customWidth="1"/>
    <col min="6" max="6" width="37.28515625" style="48" customWidth="1"/>
    <col min="7" max="7" width="22.85546875" style="48" customWidth="1"/>
    <col min="8" max="8" width="31.140625" style="48" customWidth="1"/>
    <col min="9" max="9" width="44.5703125" style="48" customWidth="1"/>
    <col min="10" max="10" width="2" style="81" customWidth="1"/>
    <col min="11" max="11" width="26.42578125" style="48" customWidth="1"/>
    <col min="12" max="12" width="28.7109375" style="48" customWidth="1"/>
    <col min="13" max="13" width="28.42578125" style="48" customWidth="1"/>
    <col min="14" max="14" width="50" style="48" customWidth="1"/>
    <col min="15" max="15" width="32.42578125" style="48" customWidth="1"/>
    <col min="16" max="16" width="28.5703125" style="48" customWidth="1"/>
    <col min="17" max="17" width="23.28515625" style="48" customWidth="1"/>
    <col min="18" max="18" width="22.140625" style="48" customWidth="1"/>
    <col min="19" max="19" width="18.28515625" style="48" customWidth="1"/>
    <col min="20" max="16384" width="11.42578125" style="48"/>
  </cols>
  <sheetData>
    <row r="1" spans="2:19" s="46" customFormat="1" ht="12.95" customHeight="1" x14ac:dyDescent="0.2">
      <c r="B1" s="44"/>
      <c r="C1" s="45"/>
      <c r="J1" s="79"/>
    </row>
    <row r="2" spans="2:19" s="46" customFormat="1" ht="12.95" customHeight="1" x14ac:dyDescent="0.2">
      <c r="B2" s="44"/>
      <c r="C2" s="45"/>
      <c r="J2" s="79"/>
    </row>
    <row r="3" spans="2:19" s="46" customFormat="1" ht="12.95" customHeight="1" thickBot="1" x14ac:dyDescent="0.25">
      <c r="B3" s="97"/>
      <c r="C3" s="98"/>
      <c r="D3" s="99"/>
      <c r="E3" s="99"/>
      <c r="F3" s="99"/>
      <c r="G3" s="99"/>
      <c r="H3" s="99"/>
      <c r="I3" s="99"/>
      <c r="J3" s="100"/>
      <c r="K3" s="99"/>
      <c r="L3" s="99"/>
    </row>
    <row r="4" spans="2:19" s="46" customFormat="1" ht="27.75" customHeight="1" thickBot="1" x14ac:dyDescent="0.25">
      <c r="B4" s="644" t="s">
        <v>337</v>
      </c>
      <c r="C4" s="645"/>
      <c r="D4" s="645"/>
      <c r="E4" s="645"/>
      <c r="F4" s="645"/>
      <c r="G4" s="645"/>
      <c r="H4" s="645"/>
      <c r="I4" s="645"/>
      <c r="J4" s="645"/>
      <c r="K4" s="645"/>
      <c r="L4" s="646"/>
    </row>
    <row r="5" spans="2:19" s="46" customFormat="1" ht="12.95" customHeight="1" thickBot="1" x14ac:dyDescent="0.25">
      <c r="B5" s="45"/>
      <c r="C5" s="45"/>
      <c r="J5" s="79"/>
    </row>
    <row r="6" spans="2:19" s="46" customFormat="1" ht="36.6" customHeight="1" thickBot="1" x14ac:dyDescent="0.25">
      <c r="B6" s="647" t="s">
        <v>22</v>
      </c>
      <c r="C6" s="648"/>
      <c r="D6" s="648" t="s">
        <v>5</v>
      </c>
      <c r="E6" s="648"/>
      <c r="F6" s="648" t="s">
        <v>23</v>
      </c>
      <c r="G6" s="652"/>
      <c r="H6" s="140"/>
      <c r="I6" s="140"/>
      <c r="J6" s="79"/>
    </row>
    <row r="7" spans="2:19" s="46" customFormat="1" ht="75.75" customHeight="1" x14ac:dyDescent="0.2">
      <c r="B7" s="649" t="s">
        <v>24</v>
      </c>
      <c r="C7" s="650"/>
      <c r="D7" s="651" t="s">
        <v>25</v>
      </c>
      <c r="E7" s="651"/>
      <c r="F7" s="651" t="s">
        <v>26</v>
      </c>
      <c r="G7" s="653"/>
      <c r="H7" s="141"/>
      <c r="I7" s="142">
        <v>1</v>
      </c>
      <c r="J7" s="79"/>
    </row>
    <row r="8" spans="2:19" s="46" customFormat="1" ht="57" customHeight="1" x14ac:dyDescent="0.2">
      <c r="B8" s="641" t="s">
        <v>27</v>
      </c>
      <c r="C8" s="642"/>
      <c r="D8" s="643" t="s">
        <v>28</v>
      </c>
      <c r="E8" s="643"/>
      <c r="F8" s="643" t="s">
        <v>338</v>
      </c>
      <c r="G8" s="654"/>
      <c r="H8" s="143" t="s">
        <v>339</v>
      </c>
      <c r="I8" s="142">
        <v>0.75</v>
      </c>
      <c r="J8" s="79"/>
    </row>
    <row r="9" spans="2:19" s="46" customFormat="1" ht="71.25" customHeight="1" x14ac:dyDescent="0.2">
      <c r="B9" s="660" t="s">
        <v>30</v>
      </c>
      <c r="C9" s="661"/>
      <c r="D9" s="643" t="s">
        <v>340</v>
      </c>
      <c r="E9" s="643"/>
      <c r="F9" s="643" t="s">
        <v>32</v>
      </c>
      <c r="G9" s="654"/>
      <c r="H9" s="144"/>
      <c r="I9" s="142">
        <v>0.5</v>
      </c>
      <c r="J9" s="79"/>
    </row>
    <row r="10" spans="2:19" s="46" customFormat="1" ht="97.5" customHeight="1" thickBot="1" x14ac:dyDescent="0.25">
      <c r="B10" s="655" t="s">
        <v>33</v>
      </c>
      <c r="C10" s="656"/>
      <c r="D10" s="657" t="s">
        <v>341</v>
      </c>
      <c r="E10" s="657"/>
      <c r="F10" s="657" t="s">
        <v>35</v>
      </c>
      <c r="G10" s="664"/>
      <c r="H10" s="144"/>
      <c r="I10" s="142">
        <v>0.25</v>
      </c>
      <c r="J10" s="79"/>
    </row>
    <row r="11" spans="2:19" s="46" customFormat="1" ht="26.25" customHeight="1" x14ac:dyDescent="0.2">
      <c r="B11" s="665" t="s">
        <v>342</v>
      </c>
      <c r="C11" s="665"/>
      <c r="D11" s="665"/>
      <c r="E11" s="665"/>
      <c r="F11" s="665"/>
      <c r="G11" s="665"/>
      <c r="H11" s="665"/>
      <c r="I11" s="665"/>
      <c r="J11" s="80"/>
      <c r="K11" s="47"/>
      <c r="L11" s="47"/>
      <c r="M11" s="47"/>
      <c r="N11" s="47"/>
    </row>
    <row r="12" spans="2:19" s="46" customFormat="1" ht="38.25" customHeight="1" thickBot="1" x14ac:dyDescent="0.25">
      <c r="B12" s="45"/>
      <c r="C12" s="45"/>
      <c r="J12" s="79"/>
    </row>
    <row r="13" spans="2:19" s="46" customFormat="1" ht="42.75" customHeight="1" x14ac:dyDescent="0.2">
      <c r="B13" s="666" t="s">
        <v>343</v>
      </c>
      <c r="C13" s="668" t="s">
        <v>344</v>
      </c>
      <c r="D13" s="669"/>
      <c r="E13" s="669"/>
      <c r="F13" s="670"/>
      <c r="G13" s="671" t="s">
        <v>345</v>
      </c>
      <c r="H13" s="662" t="s">
        <v>346</v>
      </c>
      <c r="I13" s="672" t="s">
        <v>347</v>
      </c>
      <c r="J13" s="79"/>
      <c r="K13" s="658" t="s">
        <v>348</v>
      </c>
      <c r="L13" s="658" t="s">
        <v>349</v>
      </c>
      <c r="M13" s="635" t="s">
        <v>350</v>
      </c>
      <c r="N13" s="632" t="s">
        <v>351</v>
      </c>
      <c r="O13" s="633"/>
      <c r="P13" s="633"/>
      <c r="Q13" s="633"/>
      <c r="R13" s="633"/>
      <c r="S13" s="634"/>
    </row>
    <row r="14" spans="2:19" s="46" customFormat="1" ht="48.75" customHeight="1" thickBot="1" x14ac:dyDescent="0.25">
      <c r="B14" s="667"/>
      <c r="C14" s="136" t="s">
        <v>352</v>
      </c>
      <c r="D14" s="136" t="s">
        <v>49</v>
      </c>
      <c r="E14" s="136" t="s">
        <v>353</v>
      </c>
      <c r="F14" s="137" t="s">
        <v>354</v>
      </c>
      <c r="G14" s="663"/>
      <c r="H14" s="663"/>
      <c r="I14" s="673"/>
      <c r="J14" s="79"/>
      <c r="K14" s="659"/>
      <c r="L14" s="659"/>
      <c r="M14" s="636"/>
      <c r="N14" s="138" t="s">
        <v>355</v>
      </c>
      <c r="O14" s="138" t="s">
        <v>356</v>
      </c>
      <c r="P14" s="138" t="s">
        <v>357</v>
      </c>
      <c r="Q14" s="138" t="s">
        <v>358</v>
      </c>
      <c r="R14" s="138" t="s">
        <v>359</v>
      </c>
      <c r="S14" s="139" t="s">
        <v>360</v>
      </c>
    </row>
    <row r="15" spans="2:19" s="46" customFormat="1" ht="99.75" customHeight="1" x14ac:dyDescent="0.2">
      <c r="B15" s="122">
        <f>+IF(ISTEXT(D15),J15,"")</f>
        <v>1</v>
      </c>
      <c r="C15" s="123" t="str">
        <f>+IFERROR(INDEX(Hoja1!$A$2:$A$82,MATCH(J15,Hoja1!$H$2:$H$82,0)),"")</f>
        <v>2.3</v>
      </c>
      <c r="D15" s="124" t="str">
        <f>IFERROR(VLOOKUP(C15,Hoja1!$A$2:$H$82,4,0),"")</f>
        <v>Ambiente de Control</v>
      </c>
      <c r="E15" s="124" t="str">
        <f>+IFERROR(VLOOKUP(C15,Hoja1!$A$1:$J$82,10,0),"")</f>
        <v xml:space="preserve">Aplicación de mecanismos para ejercer una adecuada supervisión del Sistema de Control Interno </v>
      </c>
      <c r="F15" s="124" t="str">
        <f>+IFERROR(VLOOKUP(C15,Hoja1!$A$1:$I$82,3,0),"")</f>
        <v xml:space="preserve"> Definición de líneas de reporte en temas clave para la toma de decisiones, atendiendo el Esquema de Líneas de Defens</v>
      </c>
      <c r="G15" s="125">
        <f>+IFERROR(VLOOKUP(C15,Hoja1!$A$1:$K$82,11,0),"")</f>
        <v>3</v>
      </c>
      <c r="H15" s="126">
        <f>+IFERROR(VLOOKUP(C15,Hoja1!$A$1:$L$82,12,0),"")</f>
        <v>2</v>
      </c>
      <c r="I15" s="121" t="str">
        <f>+IF(OR(AND(G15=1,H15=1),AND(G15=1,H15=2),AND(G15=1,H15=3),G15="",H15=""),"No se encuentra presente  por lo tanto no esta funcionando, lo que hace que se requieran acciones dirigidas a fortalecer su diseño y puesta en marcha",IF(OR(AND(G15=2,H15=2),AND(G15=3,H15=1),AND(G15=3,H15=2),AND(G15=2,H15=1)),"Se encuentra presente y funcionando, pero requiere acciones dirigidas a fortalecer  o mejorar su diseño y/o ejecucion.",IF(AND(G15=2,H15=3),"Se encuentra presente  y funcionando, pero requiere mejoras frente a su diseño, ya que  opera de manera efectiva","Se encuentra presente y funciona correctamente, por lo tanto se requiere acciones o actividades  dirigidas a su mantenimiento dentro del marco de las lineas de defensa.")))</f>
        <v>Se encuentra presente y funcionando, pero requiere acciones dirigidas a fortalecer  o mejorar su diseño y/o ejecucion.</v>
      </c>
      <c r="J15" s="79">
        <v>1</v>
      </c>
      <c r="K15" s="119">
        <f>+VLOOKUP(C15,Hoja1!$A$1:$M$82,13,0)</f>
        <v>0.5</v>
      </c>
      <c r="L15" s="637">
        <f>+AVERAGE(K15:K38)</f>
        <v>0.96875</v>
      </c>
      <c r="M15" s="101"/>
      <c r="N15" s="102"/>
      <c r="O15" s="102"/>
      <c r="P15" s="102"/>
      <c r="Q15" s="102"/>
      <c r="R15" s="102"/>
      <c r="S15" s="102"/>
    </row>
    <row r="16" spans="2:19" s="46" customFormat="1" ht="99.75" customHeight="1" x14ac:dyDescent="0.2">
      <c r="B16" s="127">
        <f t="shared" ref="B16:B79" si="0">+IF(ISTEXT(D16),J16,"")</f>
        <v>2</v>
      </c>
      <c r="C16" s="128" t="str">
        <f>+IFERROR(INDEX(Hoja1!$A$2:$A$82,MATCH(J16,Hoja1!$H$2:$H$82,0)),"")</f>
        <v>1.5</v>
      </c>
      <c r="D16" s="129" t="str">
        <f>IFERROR(VLOOKUP(C16,Hoja1!$A$2:$H$82,4,0),"")</f>
        <v>Ambiente de Control</v>
      </c>
      <c r="E16" s="129" t="str">
        <f>+IFERROR(VLOOKUP(C16,Hoja1!$A$1:$J$82,10,0),"")</f>
        <v>La entidad demuestra el compromiso con la integridad (valores) y principios del servicio público</v>
      </c>
      <c r="F16" s="129" t="str">
        <f>+IFERROR(VLOOKUP(C16,Hoja1!$A$1:$I$82,3,0),"")</f>
        <v xml:space="preserve">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v>
      </c>
      <c r="G16" s="128">
        <f>+IFERROR(VLOOKUP(C16,Hoja1!$A$1:$K$82,11,0),"")</f>
        <v>2</v>
      </c>
      <c r="H16" s="130">
        <f>+IFERROR(VLOOKUP(C16,Hoja1!$A$1:$L$82,12,0),"")</f>
        <v>3</v>
      </c>
      <c r="I16" s="121" t="str">
        <f t="shared" ref="I16:I79" si="1">+IF(OR(AND(G16=1,H16=1),AND(G16=1,H16=2),AND(G16=1,H16=3),G16="",H16=""),"No se encuentra presente  por lo tanto no esta funcionando, lo que hace que se requieran acciones dirigidas a fortalecer su diseño y puesta en marcha",IF(OR(AND(G16=2,H16=2),AND(G16=3,H16=1),AND(G16=3,H16=2),AND(G16=2,H16=1)),"Se encuentra presente y funcionando, pero requiere acciones dirigidas a fortalecer  o mejorar su diseño y/o ejecucion.",IF(AND(G16=2,H16=3),"Se encuentra presente  y funcionando, pero requiere mejoras frente a su diseño, ya que  opera de manera efectiva","Se encuentra presente y funciona correctamente, por lo tanto se requiere acciones o actividades  dirigidas a su mantenimiento dentro del marco de las lineas de defensa.")))</f>
        <v>Se encuentra presente  y funcionando, pero requiere mejoras frente a su diseño, ya que  opera de manera efectiva</v>
      </c>
      <c r="J16" s="79">
        <v>2</v>
      </c>
      <c r="K16" s="119">
        <f>+VLOOKUP(C16,Hoja1!$A$1:$M$82,13,0)</f>
        <v>0.75</v>
      </c>
      <c r="L16" s="638"/>
      <c r="M16" s="76"/>
      <c r="N16" s="54"/>
      <c r="O16" s="54"/>
      <c r="P16" s="54"/>
      <c r="Q16" s="54"/>
      <c r="R16" s="54"/>
      <c r="S16" s="54"/>
    </row>
    <row r="17" spans="2:19" s="46" customFormat="1" ht="99.75" customHeight="1" x14ac:dyDescent="0.2">
      <c r="B17" s="127">
        <f t="shared" si="0"/>
        <v>3</v>
      </c>
      <c r="C17" s="128" t="str">
        <f>+IFERROR(INDEX(Hoja1!$A$2:$A$82,MATCH(J17,Hoja1!$H$2:$H$82,0)),"")</f>
        <v>1.1</v>
      </c>
      <c r="D17" s="129" t="str">
        <f>IFERROR(VLOOKUP(C17,Hoja1!$A$2:$H$82,4,0),"")</f>
        <v>Ambiente de Control</v>
      </c>
      <c r="E17" s="129" t="str">
        <f>+IFERROR(VLOOKUP(C17,Hoja1!$A$1:$J$82,10,0),"")</f>
        <v>La entidad demuestra el compromiso con la integridad (valores) y principios del servicio público</v>
      </c>
      <c r="F17" s="129" t="str">
        <f>+IFERROR(VLOOKUP(C17,Hoja1!$A$1:$I$82,3,0),"")</f>
        <v xml:space="preserve"> Aplicación del Código de Integridad. (incluye análisis de desviaciones, convivencia laboral, temas disciplinarios internos, quejas o denuncias sobres los servidores de la entidad, u otros temas relacionados)</v>
      </c>
      <c r="G17" s="128">
        <f>+IFERROR(VLOOKUP(C17,Hoja1!$A$1:$K$82,11,0),"")</f>
        <v>3</v>
      </c>
      <c r="H17" s="130">
        <f>+IFERROR(VLOOKUP(C17,Hoja1!$A$1:$L$82,12,0),"")</f>
        <v>3</v>
      </c>
      <c r="I17" s="121" t="str">
        <f t="shared" si="1"/>
        <v>Se encuentra presente y funciona correctamente, por lo tanto se requiere acciones o actividades  dirigidas a su mantenimiento dentro del marco de las lineas de defensa.</v>
      </c>
      <c r="J17" s="79">
        <v>3</v>
      </c>
      <c r="K17" s="119">
        <f>+VLOOKUP(C17,Hoja1!$A$1:$M$82,13,0)</f>
        <v>1</v>
      </c>
      <c r="L17" s="638"/>
      <c r="M17" s="76"/>
      <c r="N17" s="54"/>
      <c r="O17" s="54"/>
      <c r="P17" s="54"/>
      <c r="Q17" s="54"/>
      <c r="R17" s="54"/>
      <c r="S17" s="54"/>
    </row>
    <row r="18" spans="2:19" s="46" customFormat="1" ht="99.75" customHeight="1" x14ac:dyDescent="0.2">
      <c r="B18" s="131">
        <f t="shared" si="0"/>
        <v>4</v>
      </c>
      <c r="C18" s="128" t="str">
        <f>+IFERROR(INDEX(Hoja1!$A$2:$A$82,MATCH(J18,Hoja1!$H$2:$H$82,0)),"")</f>
        <v>1.2</v>
      </c>
      <c r="D18" s="129" t="str">
        <f>IFERROR(VLOOKUP(C18,Hoja1!$A$2:$H$82,4,0),"")</f>
        <v>Ambiente de Control</v>
      </c>
      <c r="E18" s="129" t="str">
        <f>+IFERROR(VLOOKUP(C18,Hoja1!$A$1:$J$82,10,0),"")</f>
        <v>La entidad demuestra el compromiso con la integridad (valores) y principios del servicio público</v>
      </c>
      <c r="F18" s="129" t="str">
        <f>+IFERROR(VLOOKUP(C18,Hoja1!$A$1:$I$82,3,0),"")</f>
        <v xml:space="preserve"> Mecanismos para el manejo de conflictos de interés.</v>
      </c>
      <c r="G18" s="128">
        <f>+IFERROR(VLOOKUP(C18,Hoja1!$A$1:$K$82,11,0),"")</f>
        <v>3</v>
      </c>
      <c r="H18" s="130">
        <f>+IFERROR(VLOOKUP(C18,Hoja1!$A$1:$L$82,12,0),"")</f>
        <v>3</v>
      </c>
      <c r="I18" s="121" t="str">
        <f t="shared" si="1"/>
        <v>Se encuentra presente y funciona correctamente, por lo tanto se requiere acciones o actividades  dirigidas a su mantenimiento dentro del marco de las lineas de defensa.</v>
      </c>
      <c r="J18" s="79">
        <v>4</v>
      </c>
      <c r="K18" s="119">
        <f>+VLOOKUP(C18,Hoja1!$A$1:$M$82,13,0)</f>
        <v>1</v>
      </c>
      <c r="L18" s="638"/>
      <c r="M18" s="76"/>
      <c r="N18" s="54"/>
      <c r="O18" s="54"/>
      <c r="P18" s="54"/>
      <c r="Q18" s="54"/>
      <c r="R18" s="54"/>
      <c r="S18" s="54"/>
    </row>
    <row r="19" spans="2:19" s="46" customFormat="1" ht="99.75" customHeight="1" x14ac:dyDescent="0.2">
      <c r="B19" s="127">
        <f t="shared" si="0"/>
        <v>5</v>
      </c>
      <c r="C19" s="128" t="str">
        <f>+IFERROR(INDEX(Hoja1!$A$2:$A$82,MATCH(J19,Hoja1!$H$2:$H$82,0)),"")</f>
        <v>1.3</v>
      </c>
      <c r="D19" s="129" t="str">
        <f>IFERROR(VLOOKUP(C19,Hoja1!$A$2:$H$82,4,0),"")</f>
        <v>Ambiente de Control</v>
      </c>
      <c r="E19" s="129" t="str">
        <f>+IFERROR(VLOOKUP(C19,Hoja1!$A$1:$J$82,10,0),"")</f>
        <v>La entidad demuestra el compromiso con la integridad (valores) y principios del servicio público</v>
      </c>
      <c r="F19" s="129" t="str">
        <f>+IFERROR(VLOOKUP(C19,Hoja1!$A$1:$I$82,3,0),"")</f>
        <v xml:space="preserve"> Mecanismos frente a la detección y prevención del uso inadecuado de información privilegiada u otras situaciones que puedan implicar riesgos para la entidad</v>
      </c>
      <c r="G19" s="128">
        <f>+IFERROR(VLOOKUP(C19,Hoja1!$A$1:$K$82,11,0),"")</f>
        <v>3</v>
      </c>
      <c r="H19" s="130">
        <f>+IFERROR(VLOOKUP(C19,Hoja1!$A$1:$L$82,12,0),"")</f>
        <v>3</v>
      </c>
      <c r="I19" s="121" t="str">
        <f t="shared" si="1"/>
        <v>Se encuentra presente y funciona correctamente, por lo tanto se requiere acciones o actividades  dirigidas a su mantenimiento dentro del marco de las lineas de defensa.</v>
      </c>
      <c r="J19" s="79">
        <v>5</v>
      </c>
      <c r="K19" s="119">
        <f>+VLOOKUP(C19,Hoja1!$A$1:$M$82,13,0)</f>
        <v>1</v>
      </c>
      <c r="L19" s="638"/>
      <c r="M19" s="76"/>
      <c r="N19" s="54"/>
      <c r="O19" s="54"/>
      <c r="P19" s="54"/>
      <c r="Q19" s="54"/>
      <c r="R19" s="54"/>
      <c r="S19" s="54"/>
    </row>
    <row r="20" spans="2:19" s="46" customFormat="1" ht="99.75" customHeight="1" x14ac:dyDescent="0.2">
      <c r="B20" s="131">
        <f t="shared" si="0"/>
        <v>6</v>
      </c>
      <c r="C20" s="128" t="str">
        <f>+IFERROR(INDEX(Hoja1!$A$2:$A$82,MATCH(J20,Hoja1!$H$2:$H$82,0)),"")</f>
        <v>1.4</v>
      </c>
      <c r="D20" s="129" t="str">
        <f>IFERROR(VLOOKUP(C20,Hoja1!$A$2:$H$82,4,0),"")</f>
        <v>Ambiente de Control</v>
      </c>
      <c r="E20" s="129" t="str">
        <f>+IFERROR(VLOOKUP(C20,Hoja1!$A$1:$J$82,10,0),"")</f>
        <v>La entidad demuestra el compromiso con la integridad (valores) y principios del servicio público</v>
      </c>
      <c r="F20" s="129" t="str">
        <f>+IFERROR(VLOOKUP(C20,Hoja1!$A$1:$I$82,3,0),"")</f>
        <v xml:space="preserve"> La evaluación de las acciones transversales de integridad, mediante el monitoreo permanente de los riesgos de corrupción.</v>
      </c>
      <c r="G20" s="128">
        <f>+IFERROR(VLOOKUP(C20,Hoja1!$A$1:$K$82,11,0),"")</f>
        <v>3</v>
      </c>
      <c r="H20" s="130">
        <f>+IFERROR(VLOOKUP(C20,Hoja1!$A$1:$L$82,12,0),"")</f>
        <v>3</v>
      </c>
      <c r="I20" s="121" t="str">
        <f t="shared" si="1"/>
        <v>Se encuentra presente y funciona correctamente, por lo tanto se requiere acciones o actividades  dirigidas a su mantenimiento dentro del marco de las lineas de defensa.</v>
      </c>
      <c r="J20" s="79">
        <v>6</v>
      </c>
      <c r="K20" s="119">
        <f>+VLOOKUP(C20,Hoja1!$A$1:$M$82,13,0)</f>
        <v>1</v>
      </c>
      <c r="L20" s="638"/>
      <c r="M20" s="76"/>
      <c r="N20" s="54"/>
      <c r="O20" s="54"/>
      <c r="P20" s="54"/>
      <c r="Q20" s="54"/>
      <c r="R20" s="54"/>
      <c r="S20" s="54"/>
    </row>
    <row r="21" spans="2:19" s="46" customFormat="1" ht="99.75" customHeight="1" x14ac:dyDescent="0.2">
      <c r="B21" s="127">
        <f t="shared" si="0"/>
        <v>7</v>
      </c>
      <c r="C21" s="128" t="str">
        <f>+IFERROR(INDEX(Hoja1!$A$2:$A$82,MATCH(J21,Hoja1!$H$2:$H$82,0)),"")</f>
        <v>2.1</v>
      </c>
      <c r="D21" s="129" t="str">
        <f>IFERROR(VLOOKUP(C21,Hoja1!$A$2:$H$82,4,0),"")</f>
        <v>Ambiente de Control</v>
      </c>
      <c r="E21" s="129" t="str">
        <f>+IFERROR(VLOOKUP(C21,Hoja1!$A$1:$J$82,10,0),"")</f>
        <v xml:space="preserve">Aplicación de mecanismos para ejercer una adecuada supervisión del Sistema de Control Interno </v>
      </c>
      <c r="F21" s="129" t="str">
        <f>+IFERROR(VLOOKUP(C21,Hoja1!$A$1:$I$82,3,0),"")</f>
        <v xml:space="preserve"> Creación o actualización del Comité Institucional de Coordinación de Control Interno (incluye ajustes en periodicidad para reunión, articulación con el Comité Institucioanl de Gestión y Desempeño)</v>
      </c>
      <c r="G21" s="128">
        <f>+IFERROR(VLOOKUP(C21,Hoja1!$A$1:$K$82,11,0),"")</f>
        <v>3</v>
      </c>
      <c r="H21" s="130">
        <f>+IFERROR(VLOOKUP(C21,Hoja1!$A$1:$L$82,12,0),"")</f>
        <v>3</v>
      </c>
      <c r="I21" s="121" t="str">
        <f t="shared" si="1"/>
        <v>Se encuentra presente y funciona correctamente, por lo tanto se requiere acciones o actividades  dirigidas a su mantenimiento dentro del marco de las lineas de defensa.</v>
      </c>
      <c r="J21" s="79">
        <v>7</v>
      </c>
      <c r="K21" s="119">
        <f>+VLOOKUP(C21,Hoja1!$A$1:$M$82,13,0)</f>
        <v>1</v>
      </c>
      <c r="L21" s="638"/>
      <c r="M21" s="76"/>
      <c r="N21" s="54"/>
      <c r="O21" s="54"/>
      <c r="P21" s="54"/>
      <c r="Q21" s="54"/>
      <c r="R21" s="54"/>
      <c r="S21" s="54"/>
    </row>
    <row r="22" spans="2:19" s="46" customFormat="1" ht="99.75" customHeight="1" x14ac:dyDescent="0.2">
      <c r="B22" s="127">
        <f t="shared" si="0"/>
        <v>8</v>
      </c>
      <c r="C22" s="128" t="str">
        <f>+IFERROR(INDEX(Hoja1!$A$2:$A$82,MATCH(J22,Hoja1!$H$2:$H$82,0)),"")</f>
        <v>2.2</v>
      </c>
      <c r="D22" s="129" t="str">
        <f>IFERROR(VLOOKUP(C22,Hoja1!$A$2:$H$82,4,0),"")</f>
        <v>Ambiente de Control</v>
      </c>
      <c r="E22" s="129" t="str">
        <f>+IFERROR(VLOOKUP(C22,Hoja1!$A$1:$J$82,10,0),"")</f>
        <v xml:space="preserve">Aplicación de mecanismos para ejercer una adecuada supervisión del Sistema de Control Interno </v>
      </c>
      <c r="F22" s="129" t="str">
        <f>+IFERROR(VLOOKUP(C22,Hoja1!$A$1:$I$82,3,0),"")</f>
        <v xml:space="preserve"> Definición y documentación del Esquema de Líneas de Defens</v>
      </c>
      <c r="G22" s="128">
        <f>+IFERROR(VLOOKUP(C22,Hoja1!$A$1:$K$82,11,0),"")</f>
        <v>3</v>
      </c>
      <c r="H22" s="130">
        <f>+IFERROR(VLOOKUP(C22,Hoja1!$A$1:$L$82,12,0),"")</f>
        <v>3</v>
      </c>
      <c r="I22" s="121" t="str">
        <f t="shared" si="1"/>
        <v>Se encuentra presente y funciona correctamente, por lo tanto se requiere acciones o actividades  dirigidas a su mantenimiento dentro del marco de las lineas de defensa.</v>
      </c>
      <c r="J22" s="79">
        <v>8</v>
      </c>
      <c r="K22" s="119">
        <f>+VLOOKUP(C22,Hoja1!$A$1:$M$82,13,0)</f>
        <v>1</v>
      </c>
      <c r="L22" s="638"/>
      <c r="M22" s="76"/>
      <c r="N22" s="54"/>
      <c r="O22" s="54"/>
      <c r="P22" s="54"/>
      <c r="Q22" s="54"/>
      <c r="R22" s="54"/>
      <c r="S22" s="54"/>
    </row>
    <row r="23" spans="2:19" s="46" customFormat="1" ht="99.75" customHeight="1" x14ac:dyDescent="0.2">
      <c r="B23" s="127">
        <f t="shared" si="0"/>
        <v>9</v>
      </c>
      <c r="C23" s="128" t="str">
        <f>+IFERROR(INDEX(Hoja1!$A$2:$A$82,MATCH(J23,Hoja1!$H$2:$H$82,0)),"")</f>
        <v>3.1</v>
      </c>
      <c r="D23" s="129" t="str">
        <f>IFERROR(VLOOKUP(C23,Hoja1!$A$2:$H$82,4,0),"")</f>
        <v>Ambiente de Control</v>
      </c>
      <c r="E23" s="129" t="str">
        <f>+IFERROR(VLOOKUP(C23,Hoja1!$A$1:$J$82,10,0),"")</f>
        <v>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v>
      </c>
      <c r="F23" s="129" t="str">
        <f>+IFERROR(VLOOKUP(C23,Hoja1!$A$1:$I$82,3,0),"")</f>
        <v xml:space="preserve">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v>
      </c>
      <c r="G23" s="128">
        <f>+IFERROR(VLOOKUP(C23,Hoja1!$A$1:$K$82,11,0),"")</f>
        <v>3</v>
      </c>
      <c r="H23" s="130">
        <f>+IFERROR(VLOOKUP(C23,Hoja1!$A$1:$L$82,12,0),"")</f>
        <v>3</v>
      </c>
      <c r="I23" s="121" t="str">
        <f t="shared" si="1"/>
        <v>Se encuentra presente y funciona correctamente, por lo tanto se requiere acciones o actividades  dirigidas a su mantenimiento dentro del marco de las lineas de defensa.</v>
      </c>
      <c r="J23" s="79">
        <v>9</v>
      </c>
      <c r="K23" s="119">
        <f>+VLOOKUP(C23,Hoja1!$A$1:$M$82,13,0)</f>
        <v>1</v>
      </c>
      <c r="L23" s="638"/>
      <c r="M23" s="76"/>
      <c r="N23" s="54"/>
      <c r="O23" s="54"/>
      <c r="P23" s="54"/>
      <c r="Q23" s="54"/>
      <c r="R23" s="54"/>
      <c r="S23" s="54"/>
    </row>
    <row r="24" spans="2:19" s="46" customFormat="1" ht="99.75" customHeight="1" x14ac:dyDescent="0.2">
      <c r="B24" s="131">
        <f t="shared" si="0"/>
        <v>10</v>
      </c>
      <c r="C24" s="128" t="str">
        <f>+IFERROR(INDEX(Hoja1!$A$2:$A$82,MATCH(J24,Hoja1!$H$2:$H$82,0)),"")</f>
        <v>3.2</v>
      </c>
      <c r="D24" s="129" t="str">
        <f>IFERROR(VLOOKUP(C24,Hoja1!$A$2:$H$82,4,0),"")</f>
        <v>Ambiente de Control</v>
      </c>
      <c r="E24" s="129" t="str">
        <f>+IFERROR(VLOOKUP(C24,Hoja1!$A$1:$J$82,10,0),"")</f>
        <v>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v>
      </c>
      <c r="F24" s="129" t="str">
        <f>+IFERROR(VLOOKUP(C24,Hoja1!$A$1:$I$82,3,0),"")</f>
        <v xml:space="preserve"> La Alta Dirección frente a la política de Administración del Riesgo definen los niveles de aceptación del riesgo, teniendo en cuenta cada uno de los objetivos establecidos.</v>
      </c>
      <c r="G24" s="128">
        <f>+IFERROR(VLOOKUP(C24,Hoja1!$A$1:$K$82,11,0),"")</f>
        <v>3</v>
      </c>
      <c r="H24" s="130">
        <f>+IFERROR(VLOOKUP(C24,Hoja1!$A$1:$L$82,12,0),"")</f>
        <v>3</v>
      </c>
      <c r="I24" s="121" t="str">
        <f t="shared" si="1"/>
        <v>Se encuentra presente y funciona correctamente, por lo tanto se requiere acciones o actividades  dirigidas a su mantenimiento dentro del marco de las lineas de defensa.</v>
      </c>
      <c r="J24" s="79">
        <v>10</v>
      </c>
      <c r="K24" s="119">
        <f>+VLOOKUP(C24,Hoja1!$A$1:$M$82,13,0)</f>
        <v>1</v>
      </c>
      <c r="L24" s="638"/>
      <c r="M24" s="76"/>
      <c r="N24" s="54"/>
      <c r="O24" s="54"/>
      <c r="P24" s="54"/>
      <c r="Q24" s="54"/>
      <c r="R24" s="54"/>
      <c r="S24" s="54"/>
    </row>
    <row r="25" spans="2:19" s="46" customFormat="1" ht="99.75" customHeight="1" x14ac:dyDescent="0.2">
      <c r="B25" s="127">
        <f t="shared" si="0"/>
        <v>11</v>
      </c>
      <c r="C25" s="128" t="str">
        <f>+IFERROR(INDEX(Hoja1!$A$2:$A$82,MATCH(J25,Hoja1!$H$2:$H$82,0)),"")</f>
        <v>3.3</v>
      </c>
      <c r="D25" s="129" t="str">
        <f>IFERROR(VLOOKUP(C25,Hoja1!$A$2:$H$82,4,0),"")</f>
        <v>Ambiente de Control</v>
      </c>
      <c r="E25" s="129" t="str">
        <f>+IFERROR(VLOOKUP(C25,Hoja1!$A$1:$J$82,10,0),"")</f>
        <v>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v>
      </c>
      <c r="F25" s="129" t="str">
        <f>+IFERROR(VLOOKUP(C25,Hoja1!$A$1:$I$82,3,0),"")</f>
        <v xml:space="preserve"> Evaluación de la planeación estratégica, considerando alertas frente a posibles incumplimientos, necesidades de recursos, cambios en el entorno que puedan afectar su desarrollo, entre otros aspectos que garanticen de forma razonable su cumplimiento</v>
      </c>
      <c r="G25" s="128">
        <f>+IFERROR(VLOOKUP(C25,Hoja1!$A$1:$K$82,11,0),"")</f>
        <v>3</v>
      </c>
      <c r="H25" s="130">
        <f>+IFERROR(VLOOKUP(C25,Hoja1!$A$1:$L$82,12,0),"")</f>
        <v>3</v>
      </c>
      <c r="I25" s="121" t="str">
        <f t="shared" si="1"/>
        <v>Se encuentra presente y funciona correctamente, por lo tanto se requiere acciones o actividades  dirigidas a su mantenimiento dentro del marco de las lineas de defensa.</v>
      </c>
      <c r="J25" s="79">
        <v>11</v>
      </c>
      <c r="K25" s="119">
        <f>+VLOOKUP(C25,Hoja1!$A$1:$M$82,13,0)</f>
        <v>1</v>
      </c>
      <c r="L25" s="638"/>
      <c r="M25" s="76"/>
      <c r="N25" s="54"/>
      <c r="O25" s="54"/>
      <c r="P25" s="54"/>
      <c r="Q25" s="54"/>
      <c r="R25" s="54"/>
      <c r="S25" s="54"/>
    </row>
    <row r="26" spans="2:19" s="46" customFormat="1" ht="99.75" customHeight="1" x14ac:dyDescent="0.2">
      <c r="B26" s="131">
        <f t="shared" si="0"/>
        <v>12</v>
      </c>
      <c r="C26" s="128" t="str">
        <f>+IFERROR(INDEX(Hoja1!$A$2:$A$82,MATCH(J26,Hoja1!$H$2:$H$82,0)),"")</f>
        <v>4.1</v>
      </c>
      <c r="D26" s="129" t="str">
        <f>IFERROR(VLOOKUP(C26,Hoja1!$A$2:$H$82,4,0),"")</f>
        <v>Ambiente de Control</v>
      </c>
      <c r="E26" s="129" t="str">
        <f>+IFERROR(VLOOKUP(C26,Hoja1!$A$1:$J$82,10,0),"")</f>
        <v>Compromiso con la competencia de todo el personal, por lo que la gestión del talento humano tiene un carácter estratégico con el despliegue de actividades clave para todo el ciclo de vida del servidor público –ingreso, permanencia y retiro.</v>
      </c>
      <c r="F26" s="129" t="str">
        <f>+IFERROR(VLOOKUP(C26,Hoja1!$A$1:$I$82,3,0),"")</f>
        <v xml:space="preserve"> Evaluación de la Planeación Estratégica del Talento Humano</v>
      </c>
      <c r="G26" s="128">
        <f>+IFERROR(VLOOKUP(C26,Hoja1!$A$1:$K$82,11,0),"")</f>
        <v>3</v>
      </c>
      <c r="H26" s="130">
        <f>+IFERROR(VLOOKUP(C26,Hoja1!$A$1:$L$82,12,0),"")</f>
        <v>3</v>
      </c>
      <c r="I26" s="121" t="str">
        <f t="shared" si="1"/>
        <v>Se encuentra presente y funciona correctamente, por lo tanto se requiere acciones o actividades  dirigidas a su mantenimiento dentro del marco de las lineas de defensa.</v>
      </c>
      <c r="J26" s="79">
        <v>12</v>
      </c>
      <c r="K26" s="119">
        <f>+VLOOKUP(C26,Hoja1!$A$1:$M$82,13,0)</f>
        <v>1</v>
      </c>
      <c r="L26" s="638"/>
      <c r="M26" s="76"/>
      <c r="N26" s="54"/>
      <c r="O26" s="54"/>
      <c r="P26" s="54"/>
      <c r="Q26" s="54"/>
      <c r="R26" s="54"/>
      <c r="S26" s="54"/>
    </row>
    <row r="27" spans="2:19" s="46" customFormat="1" ht="99.75" customHeight="1" x14ac:dyDescent="0.2">
      <c r="B27" s="127">
        <f t="shared" si="0"/>
        <v>13</v>
      </c>
      <c r="C27" s="128" t="str">
        <f>+IFERROR(INDEX(Hoja1!$A$2:$A$82,MATCH(J27,Hoja1!$H$2:$H$82,0)),"")</f>
        <v>4.2</v>
      </c>
      <c r="D27" s="129" t="str">
        <f>IFERROR(VLOOKUP(C27,Hoja1!$A$2:$H$82,4,0),"")</f>
        <v>Ambiente de Control</v>
      </c>
      <c r="E27" s="129" t="str">
        <f>+IFERROR(VLOOKUP(C27,Hoja1!$A$1:$J$82,10,0),"")</f>
        <v>Compromiso con la competencia de todo el personal, por lo que la gestión del talento humano tiene un carácter estratégico con el despliegue de actividades clave para todo el ciclo de vida del servidor público –ingreso, permanencia y retiro.</v>
      </c>
      <c r="F27" s="129" t="str">
        <f>+IFERROR(VLOOKUP(C27,Hoja1!$A$1:$I$82,3,0),"")</f>
        <v xml:space="preserve"> Evaluación de las actividades relacionadas con el Ingreso del personal</v>
      </c>
      <c r="G27" s="128">
        <f>+IFERROR(VLOOKUP(C27,Hoja1!$A$1:$K$82,11,0),"")</f>
        <v>3</v>
      </c>
      <c r="H27" s="130">
        <f>+IFERROR(VLOOKUP(C27,Hoja1!$A$1:$L$82,12,0),"")</f>
        <v>3</v>
      </c>
      <c r="I27" s="121" t="str">
        <f t="shared" si="1"/>
        <v>Se encuentra presente y funciona correctamente, por lo tanto se requiere acciones o actividades  dirigidas a su mantenimiento dentro del marco de las lineas de defensa.</v>
      </c>
      <c r="J27" s="79">
        <v>13</v>
      </c>
      <c r="K27" s="119">
        <f>+VLOOKUP(C27,Hoja1!$A$1:$M$82,13,0)</f>
        <v>1</v>
      </c>
      <c r="L27" s="638"/>
      <c r="M27" s="76"/>
      <c r="N27" s="54"/>
      <c r="O27" s="54"/>
      <c r="P27" s="54"/>
      <c r="Q27" s="54"/>
      <c r="R27" s="54"/>
      <c r="S27" s="54"/>
    </row>
    <row r="28" spans="2:19" s="46" customFormat="1" ht="99.75" customHeight="1" x14ac:dyDescent="0.2">
      <c r="B28" s="127">
        <f t="shared" si="0"/>
        <v>14</v>
      </c>
      <c r="C28" s="128" t="str">
        <f>+IFERROR(INDEX(Hoja1!$A$2:$A$82,MATCH(J28,Hoja1!$H$2:$H$82,0)),"")</f>
        <v>4.3</v>
      </c>
      <c r="D28" s="129" t="str">
        <f>IFERROR(VLOOKUP(C28,Hoja1!$A$2:$H$82,4,0),"")</f>
        <v>Ambiente de Control</v>
      </c>
      <c r="E28" s="129" t="str">
        <f>+IFERROR(VLOOKUP(C28,Hoja1!$A$1:$J$82,10,0),"")</f>
        <v>Compromiso con la competencia de todo el personal, por lo que la gestión del talento humano tiene un carácter estratégico con el despliegue de actividades clave para todo el ciclo de vida del servidor público –ingreso, permanencia y retiro.</v>
      </c>
      <c r="F28" s="129" t="str">
        <f>+IFERROR(VLOOKUP(C28,Hoja1!$A$1:$I$82,3,0),"")</f>
        <v xml:space="preserve"> Evaluación de las actividades relacionadas con la permanencia del personal</v>
      </c>
      <c r="G28" s="128">
        <f>+IFERROR(VLOOKUP(C28,Hoja1!$A$1:$K$82,11,0),"")</f>
        <v>3</v>
      </c>
      <c r="H28" s="130">
        <f>+IFERROR(VLOOKUP(C28,Hoja1!$A$1:$L$82,12,0),"")</f>
        <v>3</v>
      </c>
      <c r="I28" s="121" t="str">
        <f t="shared" si="1"/>
        <v>Se encuentra presente y funciona correctamente, por lo tanto se requiere acciones o actividades  dirigidas a su mantenimiento dentro del marco de las lineas de defensa.</v>
      </c>
      <c r="J28" s="79">
        <v>14</v>
      </c>
      <c r="K28" s="119">
        <f>+VLOOKUP(C28,Hoja1!$A$1:$M$82,13,0)</f>
        <v>1</v>
      </c>
      <c r="L28" s="638"/>
      <c r="M28" s="76"/>
      <c r="N28" s="54"/>
      <c r="O28" s="54"/>
      <c r="P28" s="54"/>
      <c r="Q28" s="54"/>
      <c r="R28" s="54"/>
      <c r="S28" s="54"/>
    </row>
    <row r="29" spans="2:19" s="46" customFormat="1" ht="99.75" customHeight="1" x14ac:dyDescent="0.2">
      <c r="B29" s="127">
        <f t="shared" si="0"/>
        <v>15</v>
      </c>
      <c r="C29" s="128" t="str">
        <f>+IFERROR(INDEX(Hoja1!$A$2:$A$82,MATCH(J29,Hoja1!$H$2:$H$82,0)),"")</f>
        <v>4.4</v>
      </c>
      <c r="D29" s="129" t="str">
        <f>IFERROR(VLOOKUP(C29,Hoja1!$A$2:$H$82,4,0),"")</f>
        <v>Ambiente de Control</v>
      </c>
      <c r="E29" s="129" t="str">
        <f>+IFERROR(VLOOKUP(C29,Hoja1!$A$1:$J$82,10,0),"")</f>
        <v>Compromiso con la competencia de todo el personal, por lo que la gestión del talento humano tiene un carácter estratégico con el despliegue de actividades clave para todo el ciclo de vida del servidor público –ingreso, permanencia y retiro.</v>
      </c>
      <c r="F29" s="129" t="str">
        <f>+IFERROR(VLOOKUP(C29,Hoja1!$A$1:$I$82,3,0),"")</f>
        <v>Analizar si se cuenta con políticas claras y comunicadas relacionadas con la responsabilidad de cada servidor sobre el desarrollo y mantenimiento del control interno (1a línea de defensa</v>
      </c>
      <c r="G29" s="128">
        <f>+IFERROR(VLOOKUP(C29,Hoja1!$A$1:$K$82,11,0),"")</f>
        <v>3</v>
      </c>
      <c r="H29" s="130">
        <f>+IFERROR(VLOOKUP(C29,Hoja1!$A$1:$L$82,12,0),"")</f>
        <v>3</v>
      </c>
      <c r="I29" s="121" t="str">
        <f t="shared" si="1"/>
        <v>Se encuentra presente y funciona correctamente, por lo tanto se requiere acciones o actividades  dirigidas a su mantenimiento dentro del marco de las lineas de defensa.</v>
      </c>
      <c r="J29" s="79">
        <v>15</v>
      </c>
      <c r="K29" s="119">
        <f>+VLOOKUP(C29,Hoja1!$A$1:$M$82,13,0)</f>
        <v>1</v>
      </c>
      <c r="L29" s="638"/>
      <c r="M29" s="76"/>
      <c r="N29" s="54"/>
      <c r="O29" s="54"/>
      <c r="P29" s="54"/>
      <c r="Q29" s="54"/>
      <c r="R29" s="54"/>
      <c r="S29" s="54"/>
    </row>
    <row r="30" spans="2:19" s="46" customFormat="1" ht="99.75" customHeight="1" x14ac:dyDescent="0.2">
      <c r="B30" s="131">
        <f t="shared" si="0"/>
        <v>16</v>
      </c>
      <c r="C30" s="128" t="str">
        <f>+IFERROR(INDEX(Hoja1!$A$2:$A$82,MATCH(J30,Hoja1!$H$2:$H$82,0)),"")</f>
        <v>4.5</v>
      </c>
      <c r="D30" s="129" t="str">
        <f>IFERROR(VLOOKUP(C30,Hoja1!$A$2:$H$82,4,0),"")</f>
        <v>Ambiente de Control</v>
      </c>
      <c r="E30" s="129" t="str">
        <f>+IFERROR(VLOOKUP(C30,Hoja1!$A$1:$J$82,10,0),"")</f>
        <v>Compromiso con la competencia de todo el personal, por lo que la gestión del talento humano tiene un carácter estratégico con el despliegue de actividades clave para todo el ciclo de vida del servidor público –ingreso, permanencia y retiro.</v>
      </c>
      <c r="F30" s="129" t="str">
        <f>+IFERROR(VLOOKUP(C30,Hoja1!$A$1:$I$82,3,0),"")</f>
        <v xml:space="preserve"> Evaluación de las actividades relacionadas con el retiro del personal</v>
      </c>
      <c r="G30" s="128">
        <f>+IFERROR(VLOOKUP(C30,Hoja1!$A$1:$K$82,11,0),"")</f>
        <v>3</v>
      </c>
      <c r="H30" s="130">
        <f>+IFERROR(VLOOKUP(C30,Hoja1!$A$1:$L$82,12,0),"")</f>
        <v>3</v>
      </c>
      <c r="I30" s="121" t="str">
        <f t="shared" si="1"/>
        <v>Se encuentra presente y funciona correctamente, por lo tanto se requiere acciones o actividades  dirigidas a su mantenimiento dentro del marco de las lineas de defensa.</v>
      </c>
      <c r="J30" s="79">
        <v>16</v>
      </c>
      <c r="K30" s="119">
        <f>+VLOOKUP(C30,Hoja1!$A$1:$M$82,13,0)</f>
        <v>1</v>
      </c>
      <c r="L30" s="638"/>
      <c r="M30" s="76"/>
      <c r="N30" s="54"/>
      <c r="O30" s="54"/>
      <c r="P30" s="54"/>
      <c r="Q30" s="54"/>
      <c r="R30" s="54"/>
      <c r="S30" s="54"/>
    </row>
    <row r="31" spans="2:19" s="46" customFormat="1" ht="99.75" customHeight="1" x14ac:dyDescent="0.2">
      <c r="B31" s="127">
        <f t="shared" si="0"/>
        <v>17</v>
      </c>
      <c r="C31" s="128" t="str">
        <f>+IFERROR(INDEX(Hoja1!$A$2:$A$82,MATCH(J31,Hoja1!$H$2:$H$82,0)),"")</f>
        <v>4.6</v>
      </c>
      <c r="D31" s="129" t="str">
        <f>IFERROR(VLOOKUP(C31,Hoja1!$A$2:$H$82,4,0),"")</f>
        <v>Ambiente de Control</v>
      </c>
      <c r="E31" s="129" t="str">
        <f>+IFERROR(VLOOKUP(C31,Hoja1!$A$1:$J$82,10,0),"")</f>
        <v>Compromiso con la competencia de todo el personal, por lo que la gestión del talento humano tiene un carácter estratégico con el despliegue de actividades clave para todo el ciclo de vida del servidor público –ingreso, permanencia y retiro.</v>
      </c>
      <c r="F31" s="129" t="str">
        <f>+IFERROR(VLOOKUP(C31,Hoja1!$A$1:$I$82,3,0),"")</f>
        <v xml:space="preserve"> Evaluar el impacto del Plan Institucional de Capacitación - PI</v>
      </c>
      <c r="G31" s="128">
        <f>+IFERROR(VLOOKUP(C31,Hoja1!$A$1:$K$82,11,0),"")</f>
        <v>3</v>
      </c>
      <c r="H31" s="130">
        <f>+IFERROR(VLOOKUP(C31,Hoja1!$A$1:$L$82,12,0),"")</f>
        <v>3</v>
      </c>
      <c r="I31" s="121" t="str">
        <f t="shared" si="1"/>
        <v>Se encuentra presente y funciona correctamente, por lo tanto se requiere acciones o actividades  dirigidas a su mantenimiento dentro del marco de las lineas de defensa.</v>
      </c>
      <c r="J31" s="79">
        <v>17</v>
      </c>
      <c r="K31" s="119">
        <f>+VLOOKUP(C31,Hoja1!$A$1:$M$82,13,0)</f>
        <v>1</v>
      </c>
      <c r="L31" s="638"/>
      <c r="M31" s="76"/>
      <c r="N31" s="54"/>
      <c r="O31" s="54"/>
      <c r="P31" s="54"/>
      <c r="Q31" s="54"/>
      <c r="R31" s="54"/>
      <c r="S31" s="54"/>
    </row>
    <row r="32" spans="2:19" s="46" customFormat="1" ht="99.75" customHeight="1" x14ac:dyDescent="0.2">
      <c r="B32" s="131">
        <f t="shared" si="0"/>
        <v>18</v>
      </c>
      <c r="C32" s="128" t="str">
        <f>+IFERROR(INDEX(Hoja1!$A$2:$A$82,MATCH(J32,Hoja1!$H$2:$H$82,0)),"")</f>
        <v>5.1</v>
      </c>
      <c r="D32" s="129" t="str">
        <f>IFERROR(VLOOKUP(C32,Hoja1!$A$2:$H$82,4,0),"")</f>
        <v>Ambiente de Control</v>
      </c>
      <c r="E32" s="129" t="str">
        <f>+IFERROR(VLOOKUP(C32,Hoja1!$A$1:$J$82,10,0),"")</f>
        <v>La entidad establece líneas de reporte dentro de la entidad para evaluar el funcionamiento del Sistema de Control Interno.</v>
      </c>
      <c r="F32" s="129" t="str">
        <f>+IFERROR(VLOOKUP(C32,Hoja1!$A$1:$I$82,3,0),"")</f>
        <v xml:space="preserve"> Acorde con la estructura del Esquema de Líneas de Defensa se han definido estándares de reporte, periodicidad y responsables frente a diferentes temas críticos de la entidad</v>
      </c>
      <c r="G32" s="128">
        <f>+IFERROR(VLOOKUP(C32,Hoja1!$A$1:$K$82,11,0),"")</f>
        <v>3</v>
      </c>
      <c r="H32" s="130">
        <f>+IFERROR(VLOOKUP(C32,Hoja1!$A$1:$L$82,12,0),"")</f>
        <v>3</v>
      </c>
      <c r="I32" s="121" t="str">
        <f t="shared" si="1"/>
        <v>Se encuentra presente y funciona correctamente, por lo tanto se requiere acciones o actividades  dirigidas a su mantenimiento dentro del marco de las lineas de defensa.</v>
      </c>
      <c r="J32" s="79">
        <v>18</v>
      </c>
      <c r="K32" s="119">
        <f>+VLOOKUP(C32,Hoja1!$A$1:$M$82,13,0)</f>
        <v>1</v>
      </c>
      <c r="L32" s="638"/>
      <c r="M32" s="76"/>
      <c r="N32" s="54"/>
      <c r="O32" s="54"/>
      <c r="P32" s="54"/>
      <c r="Q32" s="54"/>
      <c r="R32" s="54"/>
      <c r="S32" s="54"/>
    </row>
    <row r="33" spans="2:19" s="46" customFormat="1" ht="99.75" customHeight="1" x14ac:dyDescent="0.2">
      <c r="B33" s="127">
        <f t="shared" si="0"/>
        <v>19</v>
      </c>
      <c r="C33" s="128" t="str">
        <f>+IFERROR(INDEX(Hoja1!$A$2:$A$82,MATCH(J33,Hoja1!$H$2:$H$82,0)),"")</f>
        <v>5.2</v>
      </c>
      <c r="D33" s="129" t="str">
        <f>IFERROR(VLOOKUP(C33,Hoja1!$A$2:$H$82,4,0),"")</f>
        <v>Ambiente de Control</v>
      </c>
      <c r="E33" s="129" t="str">
        <f>+IFERROR(VLOOKUP(C33,Hoja1!$A$1:$J$82,10,0),"")</f>
        <v>La entidad establece líneas de reporte dentro de la entidad para evaluar el funcionamiento del Sistema de Control Interno.</v>
      </c>
      <c r="F33" s="129" t="str">
        <f>+IFERROR(VLOOKUP(C33,Hoja1!$A$1:$I$82,3,0),"")</f>
        <v xml:space="preserve"> La Alta Dirección analiza la información asociada con la generación de reportes financieros</v>
      </c>
      <c r="G33" s="128">
        <f>+IFERROR(VLOOKUP(C33,Hoja1!$A$1:$K$82,11,0),"")</f>
        <v>3</v>
      </c>
      <c r="H33" s="130">
        <f>+IFERROR(VLOOKUP(C33,Hoja1!$A$1:$L$82,12,0),"")</f>
        <v>3</v>
      </c>
      <c r="I33" s="121" t="str">
        <f t="shared" si="1"/>
        <v>Se encuentra presente y funciona correctamente, por lo tanto se requiere acciones o actividades  dirigidas a su mantenimiento dentro del marco de las lineas de defensa.</v>
      </c>
      <c r="J33" s="79">
        <v>19</v>
      </c>
      <c r="K33" s="119">
        <f>+VLOOKUP(C33,Hoja1!$A$1:$M$82,13,0)</f>
        <v>1</v>
      </c>
      <c r="L33" s="638"/>
      <c r="M33" s="76"/>
      <c r="N33" s="54"/>
      <c r="O33" s="54"/>
      <c r="P33" s="54"/>
      <c r="Q33" s="54"/>
      <c r="R33" s="54"/>
      <c r="S33" s="54"/>
    </row>
    <row r="34" spans="2:19" s="46" customFormat="1" ht="99.75" customHeight="1" x14ac:dyDescent="0.2">
      <c r="B34" s="127">
        <f t="shared" si="0"/>
        <v>20</v>
      </c>
      <c r="C34" s="128" t="str">
        <f>+IFERROR(INDEX(Hoja1!$A$2:$A$82,MATCH(J34,Hoja1!$H$2:$H$82,0)),"")</f>
        <v>5.3</v>
      </c>
      <c r="D34" s="129" t="str">
        <f>IFERROR(VLOOKUP(C34,Hoja1!$A$2:$H$82,4,0),"")</f>
        <v>Ambiente de Control</v>
      </c>
      <c r="E34" s="129" t="str">
        <f>+IFERROR(VLOOKUP(C34,Hoja1!$A$1:$J$82,10,0),"")</f>
        <v>La entidad establece líneas de reporte dentro de la entidad para evaluar el funcionamiento del Sistema de Control Interno.</v>
      </c>
      <c r="F34" s="129" t="str">
        <f>+IFERROR(VLOOKUP(C34,Hoja1!$A$1:$I$82,3,0),"")</f>
        <v xml:space="preserve"> Teniendo en cuenta la información suministrada por la 2a y 3a línea de defensa se toman decisiones a tiempo para garantizar el cumplimiento de las metas y objetivos</v>
      </c>
      <c r="G34" s="128">
        <f>+IFERROR(VLOOKUP(C34,Hoja1!$A$1:$K$82,11,0),"")</f>
        <v>3</v>
      </c>
      <c r="H34" s="130">
        <f>+IFERROR(VLOOKUP(C34,Hoja1!$A$1:$L$82,12,0),"")</f>
        <v>3</v>
      </c>
      <c r="I34" s="121" t="str">
        <f t="shared" si="1"/>
        <v>Se encuentra presente y funciona correctamente, por lo tanto se requiere acciones o actividades  dirigidas a su mantenimiento dentro del marco de las lineas de defensa.</v>
      </c>
      <c r="J34" s="79">
        <v>20</v>
      </c>
      <c r="K34" s="119">
        <f>+VLOOKUP(C34,Hoja1!$A$1:$M$82,13,0)</f>
        <v>1</v>
      </c>
      <c r="L34" s="638"/>
      <c r="M34" s="76"/>
      <c r="N34" s="54"/>
      <c r="O34" s="54"/>
      <c r="P34" s="54"/>
      <c r="Q34" s="54"/>
      <c r="R34" s="54"/>
      <c r="S34" s="54"/>
    </row>
    <row r="35" spans="2:19" s="46" customFormat="1" ht="99.75" customHeight="1" x14ac:dyDescent="0.2">
      <c r="B35" s="127">
        <f t="shared" si="0"/>
        <v>21</v>
      </c>
      <c r="C35" s="128" t="str">
        <f>+IFERROR(INDEX(Hoja1!$A$2:$A$82,MATCH(J35,Hoja1!$H$2:$H$82,0)),"")</f>
        <v>5.4</v>
      </c>
      <c r="D35" s="129" t="str">
        <f>IFERROR(VLOOKUP(C35,Hoja1!$A$2:$H$82,4,0),"")</f>
        <v>Ambiente de Control</v>
      </c>
      <c r="E35" s="129" t="str">
        <f>+IFERROR(VLOOKUP(C35,Hoja1!$A$1:$J$82,10,0),"")</f>
        <v>La entidad establece líneas de reporte dentro de la entidad para evaluar el funcionamiento del Sistema de Control Interno.</v>
      </c>
      <c r="F35" s="129" t="str">
        <f>+IFERROR(VLOOKUP(C35,Hoja1!$A$1:$I$82,3,0),"")</f>
        <v xml:space="preserve"> Se evalúa la estructura de control a partir de los cambios en procesos, procedimientos, u otras herramientas, a fin de garantizar su adecuada formulación y afectación frente a la gestión del riesgo</v>
      </c>
      <c r="G35" s="128">
        <f>+IFERROR(VLOOKUP(C35,Hoja1!$A$1:$K$82,11,0),"")</f>
        <v>3</v>
      </c>
      <c r="H35" s="130">
        <f>+IFERROR(VLOOKUP(C35,Hoja1!$A$1:$L$82,12,0),"")</f>
        <v>3</v>
      </c>
      <c r="I35" s="121" t="str">
        <f t="shared" si="1"/>
        <v>Se encuentra presente y funciona correctamente, por lo tanto se requiere acciones o actividades  dirigidas a su mantenimiento dentro del marco de las lineas de defensa.</v>
      </c>
      <c r="J35" s="79">
        <v>21</v>
      </c>
      <c r="K35" s="119">
        <f>+VLOOKUP(C35,Hoja1!$A$1:$M$82,13,0)</f>
        <v>1</v>
      </c>
      <c r="L35" s="638"/>
      <c r="M35" s="76"/>
      <c r="N35" s="54"/>
      <c r="O35" s="54"/>
      <c r="P35" s="54"/>
      <c r="Q35" s="54"/>
      <c r="R35" s="54"/>
      <c r="S35" s="54"/>
    </row>
    <row r="36" spans="2:19" s="46" customFormat="1" ht="99.75" customHeight="1" x14ac:dyDescent="0.2">
      <c r="B36" s="131">
        <f t="shared" si="0"/>
        <v>22</v>
      </c>
      <c r="C36" s="128" t="str">
        <f>+IFERROR(INDEX(Hoja1!$A$2:$A$82,MATCH(J36,Hoja1!$H$2:$H$82,0)),"")</f>
        <v>5.5</v>
      </c>
      <c r="D36" s="129" t="str">
        <f>IFERROR(VLOOKUP(C36,Hoja1!$A$2:$H$82,4,0),"")</f>
        <v>Ambiente de Control</v>
      </c>
      <c r="E36" s="129" t="str">
        <f>+IFERROR(VLOOKUP(C36,Hoja1!$A$1:$J$82,10,0),"")</f>
        <v>La entidad establece líneas de reporte dentro de la entidad para evaluar el funcionamiento del Sistema de Control Interno.</v>
      </c>
      <c r="F36" s="129" t="str">
        <f>+IFERROR(VLOOKUP(C36,Hoja1!$A$1:$I$82,3,0),"")</f>
        <v xml:space="preserve"> La entidad aprueba y hace seguimiento al Plan Anual de Auditoría presentado y ejecutado por parte de la Oficina de Control Interno</v>
      </c>
      <c r="G36" s="128">
        <f>+IFERROR(VLOOKUP(C36,Hoja1!$A$1:$K$82,11,0),"")</f>
        <v>3</v>
      </c>
      <c r="H36" s="130">
        <f>+IFERROR(VLOOKUP(C36,Hoja1!$A$1:$L$82,12,0),"")</f>
        <v>3</v>
      </c>
      <c r="I36" s="121" t="str">
        <f t="shared" si="1"/>
        <v>Se encuentra presente y funciona correctamente, por lo tanto se requiere acciones o actividades  dirigidas a su mantenimiento dentro del marco de las lineas de defensa.</v>
      </c>
      <c r="J36" s="79">
        <v>22</v>
      </c>
      <c r="K36" s="119">
        <f>+VLOOKUP(C36,Hoja1!$A$1:$M$82,13,0)</f>
        <v>1</v>
      </c>
      <c r="L36" s="638"/>
      <c r="M36" s="76"/>
      <c r="N36" s="54"/>
      <c r="O36" s="54"/>
      <c r="P36" s="54"/>
      <c r="Q36" s="54"/>
      <c r="R36" s="54"/>
      <c r="S36" s="54"/>
    </row>
    <row r="37" spans="2:19" s="46" customFormat="1" ht="99.75" customHeight="1" x14ac:dyDescent="0.2">
      <c r="B37" s="127">
        <f t="shared" si="0"/>
        <v>23</v>
      </c>
      <c r="C37" s="128" t="str">
        <f>+IFERROR(INDEX(Hoja1!$A$2:$A$82,MATCH(J37,Hoja1!$H$2:$H$82,0)),"")</f>
        <v>5.6</v>
      </c>
      <c r="D37" s="129" t="str">
        <f>IFERROR(VLOOKUP(C37,Hoja1!$A$2:$H$82,4,0),"")</f>
        <v>Ambiente de Control</v>
      </c>
      <c r="E37" s="129" t="str">
        <f>+IFERROR(VLOOKUP(C37,Hoja1!$A$1:$J$82,10,0),"")</f>
        <v>La entidad establece líneas de reporte dentro de la entidad para evaluar el funcionamiento del Sistema de Control Interno.</v>
      </c>
      <c r="F37" s="129" t="str">
        <f>+IFERROR(VLOOKUP(C37,Hoja1!$A$1:$I$82,3,0),"")</f>
        <v xml:space="preserve"> La entidad analiza los informes presentados por la Oficina de Control Interno y evalúa su impacto en relación con la mejora institucional</v>
      </c>
      <c r="G37" s="128">
        <f>+IFERROR(VLOOKUP(C37,Hoja1!$A$1:$K$82,11,0),"")</f>
        <v>3</v>
      </c>
      <c r="H37" s="130">
        <f>+IFERROR(VLOOKUP(C37,Hoja1!$A$1:$L$82,12,0),"")</f>
        <v>3</v>
      </c>
      <c r="I37" s="121" t="str">
        <f t="shared" si="1"/>
        <v>Se encuentra presente y funciona correctamente, por lo tanto se requiere acciones o actividades  dirigidas a su mantenimiento dentro del marco de las lineas de defensa.</v>
      </c>
      <c r="J37" s="79">
        <v>23</v>
      </c>
      <c r="K37" s="119">
        <f>+VLOOKUP(C37,Hoja1!$A$1:$M$82,13,0)</f>
        <v>1</v>
      </c>
      <c r="L37" s="638"/>
      <c r="M37" s="76"/>
      <c r="N37" s="54"/>
      <c r="O37" s="54"/>
      <c r="P37" s="54"/>
      <c r="Q37" s="54"/>
      <c r="R37" s="54"/>
      <c r="S37" s="54"/>
    </row>
    <row r="38" spans="2:19" s="46" customFormat="1" ht="99.75" customHeight="1" x14ac:dyDescent="0.2">
      <c r="B38" s="131">
        <f t="shared" si="0"/>
        <v>24</v>
      </c>
      <c r="C38" s="128" t="str">
        <f>+IFERROR(INDEX(Hoja1!$A$2:$A$82,MATCH(J38,Hoja1!$H$2:$H$82,0)),"")</f>
        <v>4.7</v>
      </c>
      <c r="D38" s="129" t="str">
        <f>IFERROR(VLOOKUP(C38,Hoja1!$A$2:$H$82,4,0),"")</f>
        <v>Ambiente de Control</v>
      </c>
      <c r="E38" s="129" t="str">
        <f>+IFERROR(VLOOKUP(C38,Hoja1!$A$1:$J$82,10,0),"")</f>
        <v>Compromiso con la competencia de todo el personal, por lo que la gestión del talento humano tiene un carácter estratégico con el despliegue de actividades clave para todo el ciclo de vida del servidor público –ingreso, permanencia y retiro.</v>
      </c>
      <c r="F38" s="129" t="str">
        <f>+IFERROR(VLOOKUP(C38,Hoja1!$A$1:$I$82,3,0),"")</f>
        <v xml:space="preserve"> Evaluación frente a los productos y servicios en los cuales participan los contratistas de apoyo</v>
      </c>
      <c r="G38" s="128">
        <f>+IFERROR(VLOOKUP(C38,Hoja1!$A$1:$K$82,11,0),"")</f>
        <v>3</v>
      </c>
      <c r="H38" s="130">
        <f>+IFERROR(VLOOKUP(C38,Hoja1!$A$1:$L$82,12,0),"")</f>
        <v>3</v>
      </c>
      <c r="I38" s="121" t="str">
        <f t="shared" si="1"/>
        <v>Se encuentra presente y funciona correctamente, por lo tanto se requiere acciones o actividades  dirigidas a su mantenimiento dentro del marco de las lineas de defensa.</v>
      </c>
      <c r="J38" s="79">
        <v>24</v>
      </c>
      <c r="K38" s="119">
        <f>+VLOOKUP(C38,Hoja1!$A$1:$M$82,13,0)</f>
        <v>1</v>
      </c>
      <c r="L38" s="639"/>
      <c r="M38" s="76"/>
      <c r="N38" s="54"/>
      <c r="O38" s="54"/>
      <c r="P38" s="54"/>
      <c r="Q38" s="54"/>
      <c r="R38" s="54"/>
      <c r="S38" s="54"/>
    </row>
    <row r="39" spans="2:19" s="46" customFormat="1" ht="99.75" customHeight="1" x14ac:dyDescent="0.2">
      <c r="B39" s="127">
        <f t="shared" si="0"/>
        <v>25</v>
      </c>
      <c r="C39" s="128" t="str">
        <f>+IFERROR(INDEX(Hoja1!$A$2:$A$82,MATCH(J39,Hoja1!$H$2:$H$82,0)),"")</f>
        <v>6.1</v>
      </c>
      <c r="D39" s="129" t="str">
        <f>IFERROR(VLOOKUP(C39,Hoja1!$A$2:$H$82,4,0),"")</f>
        <v>Evaluación de riesgos</v>
      </c>
      <c r="E39" s="129" t="str">
        <f>+IFERROR(VLOOKUP(C39,Hoja1!$A$1:$J$82,10,0),"")</f>
        <v xml:space="preserve">Definición de objetivos con suficiente claridad para identificar y evaluar los riesgos relacionados: i)Estratégicos; ii)Operativos; iii)Legales y Presupuestales; iv)De Información Financiera y no Financiera.
</v>
      </c>
      <c r="F39" s="129" t="str">
        <f>+IFERROR(VLOOKUP(C39,Hoja1!$A$1:$I$82,3,0),"")</f>
        <v xml:space="preserve">  La Entidad cuenta con mecanismos para vincular o relacionar el plan estratégico con los objetivos estratégicos y estos a su vez con los objetivos operativos</v>
      </c>
      <c r="G39" s="128">
        <f>+IFERROR(VLOOKUP(C39,Hoja1!$A$1:$K$82,11,0),"")</f>
        <v>3</v>
      </c>
      <c r="H39" s="130">
        <f>+IFERROR(VLOOKUP(C39,Hoja1!$A$1:$L$82,12,0),"")</f>
        <v>3</v>
      </c>
      <c r="I39" s="121" t="str">
        <f t="shared" si="1"/>
        <v>Se encuentra presente y funciona correctamente, por lo tanto se requiere acciones o actividades  dirigidas a su mantenimiento dentro del marco de las lineas de defensa.</v>
      </c>
      <c r="J39" s="79">
        <v>25</v>
      </c>
      <c r="K39" s="119">
        <f>+VLOOKUP(C39,Hoja1!$A$1:$M$82,13,0)</f>
        <v>1</v>
      </c>
      <c r="L39" s="640">
        <f>+AVERAGE(K39:K55)</f>
        <v>1</v>
      </c>
      <c r="M39" s="76"/>
      <c r="N39" s="54"/>
      <c r="O39" s="54"/>
      <c r="P39" s="54"/>
      <c r="Q39" s="54"/>
      <c r="R39" s="54"/>
      <c r="S39" s="54"/>
    </row>
    <row r="40" spans="2:19" s="46" customFormat="1" ht="99.75" customHeight="1" x14ac:dyDescent="0.2">
      <c r="B40" s="127">
        <f t="shared" si="0"/>
        <v>26</v>
      </c>
      <c r="C40" s="128" t="str">
        <f>+IFERROR(INDEX(Hoja1!$A$2:$A$82,MATCH(J40,Hoja1!$H$2:$H$82,0)),"")</f>
        <v>6.2</v>
      </c>
      <c r="D40" s="129" t="str">
        <f>IFERROR(VLOOKUP(C40,Hoja1!$A$2:$H$82,4,0),"")</f>
        <v>Evaluación de riesgos</v>
      </c>
      <c r="E40" s="129" t="str">
        <f>+IFERROR(VLOOKUP(C40,Hoja1!$A$1:$J$82,10,0),"")</f>
        <v xml:space="preserve">Definición de objetivos con suficiente claridad para identificar y evaluar los riesgos relacionados: i)Estratégicos; ii)Operativos; iii)Legales y Presupuestales; iv)De Información Financiera y no Financiera.
</v>
      </c>
      <c r="F40" s="129" t="str">
        <f>+IFERROR(VLOOKUP(C40,Hoja1!$A$1:$I$82,3,0),"")</f>
        <v xml:space="preserve"> Los objetivos de los procesos, programas o proyectos (según aplique) que están definidos, son específicos, medibles, alcanzables, relevantes, delimitados en el tiempo</v>
      </c>
      <c r="G40" s="128">
        <f>+IFERROR(VLOOKUP(C40,Hoja1!$A$1:$K$82,11,0),"")</f>
        <v>3</v>
      </c>
      <c r="H40" s="130">
        <f>+IFERROR(VLOOKUP(C40,Hoja1!$A$1:$L$82,12,0),"")</f>
        <v>3</v>
      </c>
      <c r="I40" s="121" t="str">
        <f t="shared" si="1"/>
        <v>Se encuentra presente y funciona correctamente, por lo tanto se requiere acciones o actividades  dirigidas a su mantenimiento dentro del marco de las lineas de defensa.</v>
      </c>
      <c r="J40" s="79">
        <v>26</v>
      </c>
      <c r="K40" s="119">
        <f>+VLOOKUP(C40,Hoja1!$A$1:$M$82,13,0)</f>
        <v>1</v>
      </c>
      <c r="L40" s="638"/>
      <c r="M40" s="76"/>
      <c r="N40" s="54"/>
      <c r="O40" s="54"/>
      <c r="P40" s="54"/>
      <c r="Q40" s="54"/>
      <c r="R40" s="54"/>
      <c r="S40" s="54"/>
    </row>
    <row r="41" spans="2:19" s="46" customFormat="1" ht="99.75" customHeight="1" x14ac:dyDescent="0.2">
      <c r="B41" s="127">
        <f t="shared" si="0"/>
        <v>27</v>
      </c>
      <c r="C41" s="128" t="str">
        <f>+IFERROR(INDEX(Hoja1!$A$2:$A$82,MATCH(J41,Hoja1!$H$2:$H$82,0)),"")</f>
        <v>6.3</v>
      </c>
      <c r="D41" s="129" t="str">
        <f>IFERROR(VLOOKUP(C41,Hoja1!$A$2:$H$82,4,0),"")</f>
        <v>Evaluación de riesgos</v>
      </c>
      <c r="E41" s="129" t="str">
        <f>+IFERROR(VLOOKUP(C41,Hoja1!$A$1:$J$82,10,0),"")</f>
        <v xml:space="preserve">Definición de objetivos con suficiente claridad para identificar y evaluar los riesgos relacionados: i)Estratégicos; ii)Operativos; iii)Legales y Presupuestales; iv)De Información Financiera y no Financiera.
</v>
      </c>
      <c r="F41" s="129" t="str">
        <f>+IFERROR(VLOOKUP(C41,Hoja1!$A$1:$I$82,3,0),"")</f>
        <v xml:space="preserve"> La Alta Dirección evalúa periódicamente los objetivos establecidos para asegurar que estos continúan siendo consistentes y apropiados para la Entidad</v>
      </c>
      <c r="G41" s="128">
        <f>+IFERROR(VLOOKUP(C41,Hoja1!$A$1:$K$82,11,0),"")</f>
        <v>3</v>
      </c>
      <c r="H41" s="130">
        <f>+IFERROR(VLOOKUP(C41,Hoja1!$A$1:$L$82,12,0),"")</f>
        <v>3</v>
      </c>
      <c r="I41" s="121" t="str">
        <f t="shared" si="1"/>
        <v>Se encuentra presente y funciona correctamente, por lo tanto se requiere acciones o actividades  dirigidas a su mantenimiento dentro del marco de las lineas de defensa.</v>
      </c>
      <c r="J41" s="79">
        <v>27</v>
      </c>
      <c r="K41" s="119">
        <f>+VLOOKUP(C41,Hoja1!$A$1:$M$82,13,0)</f>
        <v>1</v>
      </c>
      <c r="L41" s="638"/>
      <c r="M41" s="76"/>
      <c r="N41" s="54"/>
      <c r="O41" s="54"/>
      <c r="P41" s="54"/>
      <c r="Q41" s="54"/>
      <c r="R41" s="54"/>
      <c r="S41" s="54"/>
    </row>
    <row r="42" spans="2:19" s="46" customFormat="1" ht="99.75" customHeight="1" x14ac:dyDescent="0.2">
      <c r="B42" s="131">
        <f t="shared" si="0"/>
        <v>28</v>
      </c>
      <c r="C42" s="128" t="str">
        <f>+IFERROR(INDEX(Hoja1!$A$2:$A$82,MATCH(J42,Hoja1!$H$2:$H$82,0)),"")</f>
        <v>7.1</v>
      </c>
      <c r="D42" s="129" t="str">
        <f>IFERROR(VLOOKUP(C42,Hoja1!$A$2:$H$82,4,0),"")</f>
        <v>Evaluación de riesgos</v>
      </c>
      <c r="E42" s="129" t="str">
        <f>+IFERROR(VLOOKUP(C42,Hoja1!$A$1:$J$82,10,0),"")</f>
        <v xml:space="preserve">Identificación y análisis de riesgos (Analiza factores internos y externos; Implica a los niveles apropiados de la dirección; Determina cómo responder a los riesgos; Determina la importancia de los riesgos). </v>
      </c>
      <c r="F42" s="129" t="str">
        <f>+IFERROR(VLOOKUP(C42,Hoja1!$A$1:$I$82,3,0),"")</f>
        <v xml:space="preserve"> Teniendo en cuenta la estructura de la política de Administración del Riesgo, su alcance define lineamientos para toda la entidad, incluyendo regionales, áreas tercerizadas u otras instancias que afectan la prestación del servicio</v>
      </c>
      <c r="G42" s="128">
        <f>+IFERROR(VLOOKUP(C42,Hoja1!$A$1:$K$82,11,0),"")</f>
        <v>3</v>
      </c>
      <c r="H42" s="130">
        <f>+IFERROR(VLOOKUP(C42,Hoja1!$A$1:$L$82,12,0),"")</f>
        <v>3</v>
      </c>
      <c r="I42" s="121" t="str">
        <f t="shared" si="1"/>
        <v>Se encuentra presente y funciona correctamente, por lo tanto se requiere acciones o actividades  dirigidas a su mantenimiento dentro del marco de las lineas de defensa.</v>
      </c>
      <c r="J42" s="79">
        <v>28</v>
      </c>
      <c r="K42" s="119">
        <f>+VLOOKUP(C42,Hoja1!$A$1:$M$82,13,0)</f>
        <v>1</v>
      </c>
      <c r="L42" s="638"/>
      <c r="M42" s="76"/>
      <c r="N42" s="54"/>
      <c r="O42" s="54"/>
      <c r="P42" s="54"/>
      <c r="Q42" s="54"/>
      <c r="R42" s="54"/>
      <c r="S42" s="54"/>
    </row>
    <row r="43" spans="2:19" s="46" customFormat="1" ht="99.75" customHeight="1" x14ac:dyDescent="0.2">
      <c r="B43" s="127">
        <f t="shared" si="0"/>
        <v>29</v>
      </c>
      <c r="C43" s="128" t="str">
        <f>+IFERROR(INDEX(Hoja1!$A$2:$A$82,MATCH(J43,Hoja1!$H$2:$H$82,0)),"")</f>
        <v>7.2</v>
      </c>
      <c r="D43" s="129" t="str">
        <f>IFERROR(VLOOKUP(C43,Hoja1!$A$2:$H$82,4,0),"")</f>
        <v>Evaluación de riesgos</v>
      </c>
      <c r="E43" s="129" t="str">
        <f>+IFERROR(VLOOKUP(C43,Hoja1!$A$1:$J$82,10,0),"")</f>
        <v xml:space="preserve">Identificación y análisis de riesgos (Analiza factores internos y externos; Implica a los niveles apropiados de la dirección; Determina cómo responder a los riesgos; Determina la importancia de los riesgos). </v>
      </c>
      <c r="F43" s="129" t="str">
        <f>+IFERROR(VLOOKUP(C43,Hoja1!$A$1:$I$82,3,0),"")</f>
        <v xml:space="preserve"> La Oficina de Planeación, Gerencia de Riesgos (donde existan), como 2a línea de defensa, consolidan información clave frente a la gestión del riesgo</v>
      </c>
      <c r="G43" s="128">
        <f>+IFERROR(VLOOKUP(C43,Hoja1!$A$1:$K$82,11,0),"")</f>
        <v>3</v>
      </c>
      <c r="H43" s="130">
        <f>+IFERROR(VLOOKUP(C43,Hoja1!$A$1:$L$82,12,0),"")</f>
        <v>3</v>
      </c>
      <c r="I43" s="121" t="str">
        <f t="shared" si="1"/>
        <v>Se encuentra presente y funciona correctamente, por lo tanto se requiere acciones o actividades  dirigidas a su mantenimiento dentro del marco de las lineas de defensa.</v>
      </c>
      <c r="J43" s="79">
        <v>29</v>
      </c>
      <c r="K43" s="119">
        <f>+VLOOKUP(C43,Hoja1!$A$1:$M$82,13,0)</f>
        <v>1</v>
      </c>
      <c r="L43" s="638"/>
      <c r="M43" s="76"/>
      <c r="N43" s="54"/>
      <c r="O43" s="54"/>
      <c r="P43" s="54"/>
      <c r="Q43" s="54"/>
      <c r="R43" s="54"/>
      <c r="S43" s="54"/>
    </row>
    <row r="44" spans="2:19" s="46" customFormat="1" ht="99.75" customHeight="1" x14ac:dyDescent="0.2">
      <c r="B44" s="131">
        <f t="shared" si="0"/>
        <v>30</v>
      </c>
      <c r="C44" s="128" t="str">
        <f>+IFERROR(INDEX(Hoja1!$A$2:$A$82,MATCH(J44,Hoja1!$H$2:$H$82,0)),"")</f>
        <v>7.3</v>
      </c>
      <c r="D44" s="129" t="str">
        <f>IFERROR(VLOOKUP(C44,Hoja1!$A$2:$H$82,4,0),"")</f>
        <v>Evaluación de riesgos</v>
      </c>
      <c r="E44" s="129" t="str">
        <f>+IFERROR(VLOOKUP(C44,Hoja1!$A$1:$J$82,10,0),"")</f>
        <v xml:space="preserve">Identificación y análisis de riesgos (Analiza factores internos y externos; Implica a los niveles apropiados de la dirección; Determina cómo responder a los riesgos; Determina la importancia de los riesgos). </v>
      </c>
      <c r="F44" s="129" t="str">
        <f>+IFERROR(VLOOKUP(C44,Hoja1!$A$1:$I$82,3,0),"")</f>
        <v xml:space="preserve"> A partir de la información consolidada y reportada por la 2a línea de defensa (7.2), la Alta Dirección analiza sus resultados y en especial considera si se han presentado materializaciones de riesgo</v>
      </c>
      <c r="G44" s="128">
        <f>+IFERROR(VLOOKUP(C44,Hoja1!$A$1:$K$82,11,0),"")</f>
        <v>3</v>
      </c>
      <c r="H44" s="130">
        <f>+IFERROR(VLOOKUP(C44,Hoja1!$A$1:$L$82,12,0),"")</f>
        <v>3</v>
      </c>
      <c r="I44" s="121" t="str">
        <f t="shared" si="1"/>
        <v>Se encuentra presente y funciona correctamente, por lo tanto se requiere acciones o actividades  dirigidas a su mantenimiento dentro del marco de las lineas de defensa.</v>
      </c>
      <c r="J44" s="79">
        <v>30</v>
      </c>
      <c r="K44" s="119">
        <f>+VLOOKUP(C44,Hoja1!$A$1:$M$82,13,0)</f>
        <v>1</v>
      </c>
      <c r="L44" s="638"/>
      <c r="M44" s="76"/>
      <c r="N44" s="54"/>
      <c r="O44" s="54"/>
      <c r="P44" s="54"/>
      <c r="Q44" s="54"/>
      <c r="R44" s="54"/>
      <c r="S44" s="54"/>
    </row>
    <row r="45" spans="2:19" s="46" customFormat="1" ht="99.75" customHeight="1" x14ac:dyDescent="0.2">
      <c r="B45" s="127">
        <f t="shared" si="0"/>
        <v>31</v>
      </c>
      <c r="C45" s="128" t="str">
        <f>+IFERROR(INDEX(Hoja1!$A$2:$A$82,MATCH(J45,Hoja1!$H$2:$H$82,0)),"")</f>
        <v>7.4</v>
      </c>
      <c r="D45" s="129" t="str">
        <f>IFERROR(VLOOKUP(C45,Hoja1!$A$2:$H$82,4,0),"")</f>
        <v>Evaluación de riesgos</v>
      </c>
      <c r="E45" s="129" t="str">
        <f>+IFERROR(VLOOKUP(C45,Hoja1!$A$1:$J$82,10,0),"")</f>
        <v xml:space="preserve">Identificación y análisis de riesgos (Analiza factores internos y externos; Implica a los niveles apropiados de la dirección; Determina cómo responder a los riesgos; Determina la importancia de los riesgos). </v>
      </c>
      <c r="F45" s="129" t="str">
        <f>+IFERROR(VLOOKUP(C45,Hoja1!$A$1:$I$82,3,0),"")</f>
        <v xml:space="preserve"> Cuando se detectan materializaciones de riesgo, se definen los cursos de acción en relación con la revisión y actualización del mapa de riesgos correspondiente</v>
      </c>
      <c r="G45" s="128">
        <f>+IFERROR(VLOOKUP(C45,Hoja1!$A$1:$K$82,11,0),"")</f>
        <v>3</v>
      </c>
      <c r="H45" s="130">
        <f>+IFERROR(VLOOKUP(C45,Hoja1!$A$1:$L$82,12,0),"")</f>
        <v>3</v>
      </c>
      <c r="I45" s="121" t="str">
        <f t="shared" si="1"/>
        <v>Se encuentra presente y funciona correctamente, por lo tanto se requiere acciones o actividades  dirigidas a su mantenimiento dentro del marco de las lineas de defensa.</v>
      </c>
      <c r="J45" s="79">
        <v>31</v>
      </c>
      <c r="K45" s="119">
        <f>+VLOOKUP(C45,Hoja1!$A$1:$M$82,13,0)</f>
        <v>1</v>
      </c>
      <c r="L45" s="638"/>
      <c r="M45" s="76"/>
      <c r="N45" s="54"/>
      <c r="O45" s="54"/>
      <c r="P45" s="54"/>
      <c r="Q45" s="54"/>
      <c r="R45" s="54"/>
      <c r="S45" s="54"/>
    </row>
    <row r="46" spans="2:19" s="46" customFormat="1" ht="99.75" customHeight="1" x14ac:dyDescent="0.2">
      <c r="B46" s="127">
        <f t="shared" si="0"/>
        <v>32</v>
      </c>
      <c r="C46" s="128" t="str">
        <f>+IFERROR(INDEX(Hoja1!$A$2:$A$82,MATCH(J46,Hoja1!$H$2:$H$82,0)),"")</f>
        <v>7.5</v>
      </c>
      <c r="D46" s="129" t="str">
        <f>IFERROR(VLOOKUP(C46,Hoja1!$A$2:$H$82,4,0),"")</f>
        <v>Evaluación de riesgos</v>
      </c>
      <c r="E46" s="129" t="str">
        <f>+IFERROR(VLOOKUP(C46,Hoja1!$A$1:$J$82,10,0),"")</f>
        <v xml:space="preserve">Identificación y análisis de riesgos (Analiza factores internos y externos; Implica a los niveles apropiados de la dirección; Determina cómo responder a los riesgos; Determina la importancia de los riesgos). </v>
      </c>
      <c r="F46" s="129" t="str">
        <f>+IFERROR(VLOOKUP(C46,Hoja1!$A$1:$I$82,3,0),"")</f>
        <v xml:space="preserve"> Se llevan a cabo seguimientos a las acciones definidas para resolver materializaciones de riesgo detectadas</v>
      </c>
      <c r="G46" s="128">
        <f>+IFERROR(VLOOKUP(C46,Hoja1!$A$1:$K$82,11,0),"")</f>
        <v>3</v>
      </c>
      <c r="H46" s="130">
        <f>+IFERROR(VLOOKUP(C46,Hoja1!$A$1:$L$82,12,0),"")</f>
        <v>3</v>
      </c>
      <c r="I46" s="121" t="str">
        <f t="shared" si="1"/>
        <v>Se encuentra presente y funciona correctamente, por lo tanto se requiere acciones o actividades  dirigidas a su mantenimiento dentro del marco de las lineas de defensa.</v>
      </c>
      <c r="J46" s="79">
        <v>32</v>
      </c>
      <c r="K46" s="119">
        <f>+VLOOKUP(C46,Hoja1!$A$1:$M$82,13,0)</f>
        <v>1</v>
      </c>
      <c r="L46" s="638"/>
      <c r="M46" s="76"/>
      <c r="N46" s="54"/>
      <c r="O46" s="54"/>
      <c r="P46" s="54"/>
      <c r="Q46" s="54"/>
      <c r="R46" s="54"/>
      <c r="S46" s="54"/>
    </row>
    <row r="47" spans="2:19" s="46" customFormat="1" ht="99.75" customHeight="1" x14ac:dyDescent="0.2">
      <c r="B47" s="127">
        <f t="shared" si="0"/>
        <v>33</v>
      </c>
      <c r="C47" s="128" t="str">
        <f>+IFERROR(INDEX(Hoja1!$A$2:$A$82,MATCH(J47,Hoja1!$H$2:$H$82,0)),"")</f>
        <v>8.1</v>
      </c>
      <c r="D47" s="129" t="str">
        <f>IFERROR(VLOOKUP(C47,Hoja1!$A$2:$H$82,4,0),"")</f>
        <v>Evaluación de riesgos</v>
      </c>
      <c r="E47" s="129" t="str">
        <f>+IFERROR(VLOOKUP(C47,Hoja1!$A$1:$J$82,10,0),"")</f>
        <v xml:space="preserve">Evaluación del riesgo de fraude o corrupción. 
Cumplimiento artículo 73 de la Ley 1474 de 2011, relacionado con la prevención de los riesgos de corrupción.
</v>
      </c>
      <c r="F47" s="129" t="str">
        <f>+IFERROR(VLOOKUP(C47,Hoja1!$A$1:$I$82,3,0),"")</f>
        <v xml:space="preserve"> La Alta Dirección acorde con el análisis del entorno interno y externo, define los procesos, programas o proyectos (según aplique), susceptibles de posibles actos de corrupción</v>
      </c>
      <c r="G47" s="128">
        <f>+IFERROR(VLOOKUP(C47,Hoja1!$A$1:$K$82,11,0),"")</f>
        <v>3</v>
      </c>
      <c r="H47" s="130">
        <f>+IFERROR(VLOOKUP(C47,Hoja1!$A$1:$L$82,12,0),"")</f>
        <v>3</v>
      </c>
      <c r="I47" s="121" t="str">
        <f t="shared" si="1"/>
        <v>Se encuentra presente y funciona correctamente, por lo tanto se requiere acciones o actividades  dirigidas a su mantenimiento dentro del marco de las lineas de defensa.</v>
      </c>
      <c r="J47" s="79">
        <v>33</v>
      </c>
      <c r="K47" s="119">
        <f>+VLOOKUP(C47,Hoja1!$A$1:$M$82,13,0)</f>
        <v>1</v>
      </c>
      <c r="L47" s="638"/>
      <c r="M47" s="76"/>
      <c r="N47" s="54"/>
      <c r="O47" s="54"/>
      <c r="P47" s="54"/>
      <c r="Q47" s="54"/>
      <c r="R47" s="54"/>
      <c r="S47" s="54"/>
    </row>
    <row r="48" spans="2:19" s="46" customFormat="1" ht="99.75" customHeight="1" x14ac:dyDescent="0.2">
      <c r="B48" s="131">
        <f t="shared" si="0"/>
        <v>34</v>
      </c>
      <c r="C48" s="128" t="str">
        <f>+IFERROR(INDEX(Hoja1!$A$2:$A$82,MATCH(J48,Hoja1!$H$2:$H$82,0)),"")</f>
        <v>8.2</v>
      </c>
      <c r="D48" s="129" t="str">
        <f>IFERROR(VLOOKUP(C48,Hoja1!$A$2:$H$82,4,0),"")</f>
        <v>Evaluación de riesgos</v>
      </c>
      <c r="E48" s="129" t="str">
        <f>+IFERROR(VLOOKUP(C48,Hoja1!$A$1:$J$82,10,0),"")</f>
        <v xml:space="preserve">Evaluación del riesgo de fraude o corrupción. 
Cumplimiento artículo 73 de la Ley 1474 de 2011, relacionado con la prevención de los riesgos de corrupción.
</v>
      </c>
      <c r="F48" s="129" t="str">
        <f>+IFERROR(VLOOKUP(C48,Hoja1!$A$1:$I$82,3,0),"")</f>
        <v xml:space="preserve"> La Alta Dirección monitorea los riesgos de corrupción con la periodicidad establecida en la Política de Administración del Riesgo</v>
      </c>
      <c r="G48" s="128">
        <f>+IFERROR(VLOOKUP(C48,Hoja1!$A$1:$K$82,11,0),"")</f>
        <v>3</v>
      </c>
      <c r="H48" s="130">
        <f>+IFERROR(VLOOKUP(C48,Hoja1!$A$1:$L$82,12,0),"")</f>
        <v>3</v>
      </c>
      <c r="I48" s="121" t="str">
        <f t="shared" si="1"/>
        <v>Se encuentra presente y funciona correctamente, por lo tanto se requiere acciones o actividades  dirigidas a su mantenimiento dentro del marco de las lineas de defensa.</v>
      </c>
      <c r="J48" s="79">
        <v>34</v>
      </c>
      <c r="K48" s="119">
        <f>+VLOOKUP(C48,Hoja1!$A$1:$M$82,13,0)</f>
        <v>1</v>
      </c>
      <c r="L48" s="638"/>
      <c r="M48" s="76"/>
      <c r="N48" s="54"/>
      <c r="O48" s="54"/>
      <c r="P48" s="54"/>
      <c r="Q48" s="54"/>
      <c r="R48" s="54"/>
      <c r="S48" s="54"/>
    </row>
    <row r="49" spans="2:19" s="46" customFormat="1" ht="99.75" customHeight="1" x14ac:dyDescent="0.2">
      <c r="B49" s="127">
        <f t="shared" si="0"/>
        <v>35</v>
      </c>
      <c r="C49" s="128" t="str">
        <f>+IFERROR(INDEX(Hoja1!$A$2:$A$82,MATCH(J49,Hoja1!$H$2:$H$82,0)),"")</f>
        <v>8.3</v>
      </c>
      <c r="D49" s="129" t="str">
        <f>IFERROR(VLOOKUP(C49,Hoja1!$A$2:$H$82,4,0),"")</f>
        <v>Evaluación de riesgos</v>
      </c>
      <c r="E49" s="129" t="str">
        <f>+IFERROR(VLOOKUP(C49,Hoja1!$A$1:$J$82,10,0),"")</f>
        <v xml:space="preserve">Evaluación del riesgo de fraude o corrupción. 
Cumplimiento artículo 73 de la Ley 1474 de 2011, relacionado con la prevención de los riesgos de corrupción.
</v>
      </c>
      <c r="F49" s="129" t="str">
        <f>+IFERROR(VLOOKUP(C49,Hoja1!$A$1:$I$82,3,0),"")</f>
        <v xml:space="preserve"> Para el desarrollo de las actividades de control, la entidad considera la adecuada división de las funciones y que éstas se encuentren segregadas en diferentes personas para reducir el riesgo de acciones fraudulentas</v>
      </c>
      <c r="G49" s="128">
        <f>+IFERROR(VLOOKUP(C49,Hoja1!$A$1:$K$82,11,0),"")</f>
        <v>3</v>
      </c>
      <c r="H49" s="130">
        <f>+IFERROR(VLOOKUP(C49,Hoja1!$A$1:$L$82,12,0),"")</f>
        <v>3</v>
      </c>
      <c r="I49" s="121" t="str">
        <f t="shared" si="1"/>
        <v>Se encuentra presente y funciona correctamente, por lo tanto se requiere acciones o actividades  dirigidas a su mantenimiento dentro del marco de las lineas de defensa.</v>
      </c>
      <c r="J49" s="79">
        <v>35</v>
      </c>
      <c r="K49" s="119">
        <f>+VLOOKUP(C49,Hoja1!$A$1:$M$82,13,0)</f>
        <v>1</v>
      </c>
      <c r="L49" s="638"/>
      <c r="M49" s="76"/>
      <c r="N49" s="54"/>
      <c r="O49" s="54"/>
      <c r="P49" s="54"/>
      <c r="Q49" s="54"/>
      <c r="R49" s="54"/>
      <c r="S49" s="54"/>
    </row>
    <row r="50" spans="2:19" s="46" customFormat="1" ht="99.75" customHeight="1" x14ac:dyDescent="0.2">
      <c r="B50" s="131">
        <f t="shared" si="0"/>
        <v>36</v>
      </c>
      <c r="C50" s="128" t="str">
        <f>+IFERROR(INDEX(Hoja1!$A$2:$A$82,MATCH(J50,Hoja1!$H$2:$H$82,0)),"")</f>
        <v>8.4</v>
      </c>
      <c r="D50" s="129" t="str">
        <f>IFERROR(VLOOKUP(C50,Hoja1!$A$2:$H$82,4,0),"")</f>
        <v>Evaluación de riesgos</v>
      </c>
      <c r="E50" s="129" t="str">
        <f>+IFERROR(VLOOKUP(C50,Hoja1!$A$1:$J$82,10,0),"")</f>
        <v xml:space="preserve">Evaluación del riesgo de fraude o corrupción. 
Cumplimiento artículo 73 de la Ley 1474 de 2011, relacionado con la prevención de los riesgos de corrupción.
</v>
      </c>
      <c r="F50" s="129" t="str">
        <f>+IFERROR(VLOOKUP(C50,Hoja1!$A$1:$I$82,3,0),"")</f>
        <v xml:space="preserve"> La Alta Dirección evalúa fallas en los controles (diseño y ejecución) para definir cursos de acción apropiados para su mejora</v>
      </c>
      <c r="G50" s="128">
        <f>+IFERROR(VLOOKUP(C50,Hoja1!$A$1:$K$82,11,0),"")</f>
        <v>3</v>
      </c>
      <c r="H50" s="130">
        <f>+IFERROR(VLOOKUP(C50,Hoja1!$A$1:$L$82,12,0),"")</f>
        <v>3</v>
      </c>
      <c r="I50" s="121" t="str">
        <f t="shared" si="1"/>
        <v>Se encuentra presente y funciona correctamente, por lo tanto se requiere acciones o actividades  dirigidas a su mantenimiento dentro del marco de las lineas de defensa.</v>
      </c>
      <c r="J50" s="79">
        <v>36</v>
      </c>
      <c r="K50" s="119">
        <f>+VLOOKUP(C50,Hoja1!$A$1:$M$82,13,0)</f>
        <v>1</v>
      </c>
      <c r="L50" s="638"/>
      <c r="M50" s="76"/>
      <c r="N50" s="54"/>
      <c r="O50" s="54"/>
      <c r="P50" s="54"/>
      <c r="Q50" s="54"/>
      <c r="R50" s="54"/>
      <c r="S50" s="54"/>
    </row>
    <row r="51" spans="2:19" s="46" customFormat="1" ht="99.75" customHeight="1" x14ac:dyDescent="0.2">
      <c r="B51" s="127">
        <f t="shared" si="0"/>
        <v>37</v>
      </c>
      <c r="C51" s="128" t="str">
        <f>+IFERROR(INDEX(Hoja1!$A$2:$A$82,MATCH(J51,Hoja1!$H$2:$H$82,0)),"")</f>
        <v>9.1</v>
      </c>
      <c r="D51" s="129" t="str">
        <f>IFERROR(VLOOKUP(C51,Hoja1!$A$2:$H$82,4,0),"")</f>
        <v>Evaluación de riesgos</v>
      </c>
      <c r="E51" s="129" t="str">
        <f>+IFERROR(VLOOKUP(C51,Hoja1!$A$1:$J$82,10,0),"")</f>
        <v xml:space="preserve">Identificación y análisis de cambios significativos </v>
      </c>
      <c r="F51" s="129" t="str">
        <f>+IFERROR(VLOOKUP(C51,Hoja1!$A$1:$I$82,3,0),"")</f>
        <v xml:space="preserve"> Acorde con lo establecido en la política de Administración del Riesgo, se monitorean los factores internos y externos definidos para la entidad, a fin de establecer cambios en el entorno que determinen nuevos riesgos o ajustes a los existentes</v>
      </c>
      <c r="G51" s="128">
        <f>+IFERROR(VLOOKUP(C51,Hoja1!$A$1:$K$82,11,0),"")</f>
        <v>3</v>
      </c>
      <c r="H51" s="130">
        <f>+IFERROR(VLOOKUP(C51,Hoja1!$A$1:$L$82,12,0),"")</f>
        <v>3</v>
      </c>
      <c r="I51" s="121" t="str">
        <f t="shared" si="1"/>
        <v>Se encuentra presente y funciona correctamente, por lo tanto se requiere acciones o actividades  dirigidas a su mantenimiento dentro del marco de las lineas de defensa.</v>
      </c>
      <c r="J51" s="79">
        <v>37</v>
      </c>
      <c r="K51" s="119">
        <f>+VLOOKUP(C51,Hoja1!$A$1:$M$82,13,0)</f>
        <v>1</v>
      </c>
      <c r="L51" s="638"/>
      <c r="M51" s="76"/>
      <c r="N51" s="54"/>
      <c r="O51" s="54"/>
      <c r="P51" s="54"/>
      <c r="Q51" s="54"/>
      <c r="R51" s="54"/>
      <c r="S51" s="54"/>
    </row>
    <row r="52" spans="2:19" s="46" customFormat="1" ht="99.75" customHeight="1" x14ac:dyDescent="0.2">
      <c r="B52" s="127">
        <f t="shared" si="0"/>
        <v>38</v>
      </c>
      <c r="C52" s="128" t="str">
        <f>+IFERROR(INDEX(Hoja1!$A$2:$A$82,MATCH(J52,Hoja1!$H$2:$H$82,0)),"")</f>
        <v>9.2</v>
      </c>
      <c r="D52" s="129" t="str">
        <f>IFERROR(VLOOKUP(C52,Hoja1!$A$2:$H$82,4,0),"")</f>
        <v>Evaluación de riesgos</v>
      </c>
      <c r="E52" s="129" t="str">
        <f>+IFERROR(VLOOKUP(C52,Hoja1!$A$1:$J$82,10,0),"")</f>
        <v xml:space="preserve">Identificación y análisis de cambios significativos </v>
      </c>
      <c r="F52" s="129" t="str">
        <f>+IFERROR(VLOOKUP(C52,Hoja1!$A$1:$I$82,3,0),"")</f>
        <v xml:space="preserve"> La Alta Dirección analiza los riesgos asociados a actividades tercerizadas, regionales u otras figuras externas que afecten la prestación del servicio a los usuarios, basados en los informes de la segunda y tercera linea de defensa</v>
      </c>
      <c r="G52" s="128">
        <f>+IFERROR(VLOOKUP(C52,Hoja1!$A$1:$K$82,11,0),"")</f>
        <v>3</v>
      </c>
      <c r="H52" s="130">
        <f>+IFERROR(VLOOKUP(C52,Hoja1!$A$1:$L$82,12,0),"")</f>
        <v>3</v>
      </c>
      <c r="I52" s="121" t="str">
        <f t="shared" si="1"/>
        <v>Se encuentra presente y funciona correctamente, por lo tanto se requiere acciones o actividades  dirigidas a su mantenimiento dentro del marco de las lineas de defensa.</v>
      </c>
      <c r="J52" s="79">
        <v>38</v>
      </c>
      <c r="K52" s="119">
        <f>+VLOOKUP(C52,Hoja1!$A$1:$M$82,13,0)</f>
        <v>1</v>
      </c>
      <c r="L52" s="638"/>
      <c r="M52" s="76"/>
      <c r="N52" s="54"/>
      <c r="O52" s="54"/>
      <c r="P52" s="54"/>
      <c r="Q52" s="54"/>
      <c r="R52" s="54"/>
      <c r="S52" s="54"/>
    </row>
    <row r="53" spans="2:19" s="46" customFormat="1" ht="99.75" customHeight="1" x14ac:dyDescent="0.2">
      <c r="B53" s="127">
        <f t="shared" si="0"/>
        <v>39</v>
      </c>
      <c r="C53" s="128" t="str">
        <f>+IFERROR(INDEX(Hoja1!$A$2:$A$82,MATCH(J53,Hoja1!$H$2:$H$82,0)),"")</f>
        <v>9.3</v>
      </c>
      <c r="D53" s="129" t="str">
        <f>IFERROR(VLOOKUP(C53,Hoja1!$A$2:$H$82,4,0),"")</f>
        <v>Evaluación de riesgos</v>
      </c>
      <c r="E53" s="129" t="str">
        <f>+IFERROR(VLOOKUP(C53,Hoja1!$A$1:$J$82,10,0),"")</f>
        <v xml:space="preserve">Identificación y análisis de cambios significativos </v>
      </c>
      <c r="F53" s="129" t="str">
        <f>+IFERROR(VLOOKUP(C53,Hoja1!$A$1:$I$82,3,0),"")</f>
        <v xml:space="preserve"> La Alta Dirección monitorea los riesgos aceptados revisando que sus condiciones no hayan cambiado y definir su pertinencia para sostenerlos o ajustarlos</v>
      </c>
      <c r="G53" s="128">
        <f>+IFERROR(VLOOKUP(C53,Hoja1!$A$1:$K$82,11,0),"")</f>
        <v>3</v>
      </c>
      <c r="H53" s="130">
        <f>+IFERROR(VLOOKUP(C53,Hoja1!$A$1:$L$82,12,0),"")</f>
        <v>3</v>
      </c>
      <c r="I53" s="121" t="str">
        <f t="shared" si="1"/>
        <v>Se encuentra presente y funciona correctamente, por lo tanto se requiere acciones o actividades  dirigidas a su mantenimiento dentro del marco de las lineas de defensa.</v>
      </c>
      <c r="J53" s="79">
        <v>39</v>
      </c>
      <c r="K53" s="119">
        <f>+VLOOKUP(C53,Hoja1!$A$1:$M$82,13,0)</f>
        <v>1</v>
      </c>
      <c r="L53" s="638"/>
      <c r="M53" s="76"/>
      <c r="N53" s="54"/>
      <c r="O53" s="54"/>
      <c r="P53" s="54"/>
      <c r="Q53" s="54"/>
      <c r="R53" s="54"/>
      <c r="S53" s="54"/>
    </row>
    <row r="54" spans="2:19" s="46" customFormat="1" ht="99.75" customHeight="1" x14ac:dyDescent="0.2">
      <c r="B54" s="131">
        <f t="shared" si="0"/>
        <v>40</v>
      </c>
      <c r="C54" s="128" t="str">
        <f>+IFERROR(INDEX(Hoja1!$A$2:$A$82,MATCH(J54,Hoja1!$H$2:$H$82,0)),"")</f>
        <v>9.4</v>
      </c>
      <c r="D54" s="129" t="str">
        <f>IFERROR(VLOOKUP(C54,Hoja1!$A$2:$H$82,4,0),"")</f>
        <v>Evaluación de riesgos</v>
      </c>
      <c r="E54" s="129" t="str">
        <f>+IFERROR(VLOOKUP(C54,Hoja1!$A$1:$J$82,10,0),"")</f>
        <v xml:space="preserve">Identificación y análisis de cambios significativos </v>
      </c>
      <c r="F54" s="129" t="str">
        <f>+IFERROR(VLOOKUP(C54,Hoja1!$A$1:$I$82,3,0),"")</f>
        <v xml:space="preserve"> La Alta Dirección evalúa fallas en los controles (diseño y ejecución) para definir cursos de acción apropiados para su mejora, basados en los informes de la segunda y tercera linea de defensa</v>
      </c>
      <c r="G54" s="128">
        <f>+IFERROR(VLOOKUP(C54,Hoja1!$A$1:$K$82,11,0),"")</f>
        <v>3</v>
      </c>
      <c r="H54" s="130">
        <f>+IFERROR(VLOOKUP(C54,Hoja1!$A$1:$L$82,12,0),"")</f>
        <v>3</v>
      </c>
      <c r="I54" s="121" t="str">
        <f t="shared" si="1"/>
        <v>Se encuentra presente y funciona correctamente, por lo tanto se requiere acciones o actividades  dirigidas a su mantenimiento dentro del marco de las lineas de defensa.</v>
      </c>
      <c r="J54" s="79">
        <v>40</v>
      </c>
      <c r="K54" s="119">
        <f>+VLOOKUP(C54,Hoja1!$A$1:$M$82,13,0)</f>
        <v>1</v>
      </c>
      <c r="L54" s="638"/>
      <c r="M54" s="76"/>
      <c r="N54" s="54"/>
      <c r="O54" s="54"/>
      <c r="P54" s="54"/>
      <c r="Q54" s="54"/>
      <c r="R54" s="54"/>
      <c r="S54" s="54"/>
    </row>
    <row r="55" spans="2:19" s="46" customFormat="1" ht="99.75" customHeight="1" x14ac:dyDescent="0.2">
      <c r="B55" s="127">
        <f t="shared" si="0"/>
        <v>41</v>
      </c>
      <c r="C55" s="128" t="str">
        <f>+IFERROR(INDEX(Hoja1!$A$2:$A$82,MATCH(J55,Hoja1!$H$2:$H$82,0)),"")</f>
        <v>9.5</v>
      </c>
      <c r="D55" s="129" t="str">
        <f>IFERROR(VLOOKUP(C55,Hoja1!$A$2:$H$82,4,0),"")</f>
        <v>Evaluación de riesgos</v>
      </c>
      <c r="E55" s="129" t="str">
        <f>+IFERROR(VLOOKUP(C55,Hoja1!$A$1:$J$82,10,0),"")</f>
        <v xml:space="preserve">Identificación y análisis de cambios significativos </v>
      </c>
      <c r="F55" s="129" t="str">
        <f>+IFERROR(VLOOKUP(C55,Hoja1!$A$1:$I$82,3,0),"")</f>
        <v xml:space="preserve"> La entidad analiza el impacto sobre el control interno por cambios en los diferentes niveles organizacionales</v>
      </c>
      <c r="G55" s="128">
        <f>+IFERROR(VLOOKUP(C55,Hoja1!$A$1:$K$82,11,0),"")</f>
        <v>3</v>
      </c>
      <c r="H55" s="130">
        <f>+IFERROR(VLOOKUP(C55,Hoja1!$A$1:$L$82,12,0),"")</f>
        <v>3</v>
      </c>
      <c r="I55" s="121" t="str">
        <f t="shared" si="1"/>
        <v>Se encuentra presente y funciona correctamente, por lo tanto se requiere acciones o actividades  dirigidas a su mantenimiento dentro del marco de las lineas de defensa.</v>
      </c>
      <c r="J55" s="79">
        <v>41</v>
      </c>
      <c r="K55" s="119">
        <f>+VLOOKUP(C55,Hoja1!$A$1:$M$82,13,0)</f>
        <v>1</v>
      </c>
      <c r="L55" s="638"/>
      <c r="M55" s="76"/>
      <c r="N55" s="54"/>
      <c r="O55" s="54"/>
      <c r="P55" s="54"/>
      <c r="Q55" s="54"/>
      <c r="R55" s="54"/>
      <c r="S55" s="54"/>
    </row>
    <row r="56" spans="2:19" s="46" customFormat="1" ht="99.75" customHeight="1" x14ac:dyDescent="0.2">
      <c r="B56" s="131">
        <f t="shared" si="0"/>
        <v>42</v>
      </c>
      <c r="C56" s="128" t="str">
        <f>+IFERROR(INDEX(Hoja1!$A$2:$A$82,MATCH(J56,Hoja1!$H$2:$H$82,0)),"")</f>
        <v>10.2</v>
      </c>
      <c r="D56" s="129" t="str">
        <f>IFERROR(VLOOKUP(C56,Hoja1!$A$2:$H$82,4,0),"")</f>
        <v>Actividades de control</v>
      </c>
      <c r="E56" s="129" t="str">
        <f>+IFERROR(VLOOKUP(C56,Hoja1!$A$1:$J$82,10,0),"")</f>
        <v>Diseño y desarrollo de actividades de control (Integra el desarrollo de controles con la evaluación de riesgos; tiene en cuenta a qué nivel se aplican las actividades; facilita la segregación de funciones).</v>
      </c>
      <c r="F56" s="129" t="str">
        <f>+IFERROR(VLOOKUP(C56,Hoja1!$A$1:$I$82,3,0),"")</f>
        <v xml:space="preserve"> Se han idenfificado y documentado las situaciones específicas en donde no es posible segregar adecuadamente las funciones (ej: falta de personal, presupuesto), con el fin de definir actividades de control alternativas para cubrir los riesgos identificados.</v>
      </c>
      <c r="G56" s="128">
        <f>+IFERROR(VLOOKUP(C56,Hoja1!$A$1:$K$82,11,0),"")</f>
        <v>2</v>
      </c>
      <c r="H56" s="130">
        <f>+IFERROR(VLOOKUP(C56,Hoja1!$A$1:$L$82,12,0),"")</f>
        <v>3</v>
      </c>
      <c r="I56" s="121" t="str">
        <f t="shared" si="1"/>
        <v>Se encuentra presente  y funcionando, pero requiere mejoras frente a su diseño, ya que  opera de manera efectiva</v>
      </c>
      <c r="J56" s="79">
        <v>42</v>
      </c>
      <c r="K56" s="119">
        <f>+VLOOKUP(C56,Hoja1!$A$1:$M$82,13,0)</f>
        <v>0.75</v>
      </c>
      <c r="L56" s="638">
        <f>+AVERAGE(K56:K67)</f>
        <v>0.95833333333333337</v>
      </c>
      <c r="M56" s="76"/>
      <c r="N56" s="54"/>
      <c r="O56" s="54"/>
      <c r="P56" s="54"/>
      <c r="Q56" s="54"/>
      <c r="R56" s="54"/>
      <c r="S56" s="54"/>
    </row>
    <row r="57" spans="2:19" s="46" customFormat="1" ht="99.75" customHeight="1" x14ac:dyDescent="0.2">
      <c r="B57" s="127">
        <f t="shared" si="0"/>
        <v>43</v>
      </c>
      <c r="C57" s="128" t="str">
        <f>+IFERROR(INDEX(Hoja1!$A$2:$A$82,MATCH(J57,Hoja1!$H$2:$H$82,0)),"")</f>
        <v>11.1</v>
      </c>
      <c r="D57" s="129" t="str">
        <f>IFERROR(VLOOKUP(C57,Hoja1!$A$2:$H$82,4,0),"")</f>
        <v>Actividades de control</v>
      </c>
      <c r="E57" s="129" t="str">
        <f>+IFERROR(VLOOKUP(C57,Hoja1!$A$1:$J$82,10,0),"")</f>
        <v>Seleccionar y Desarrolla controles generales sobre TI para apoyar la consecución de los objetivos .</v>
      </c>
      <c r="F57" s="129" t="str">
        <f>+IFERROR(VLOOKUP(C57,Hoja1!$A$1:$I$82,3,0),"")</f>
        <v xml:space="preserve"> La entidad establece actividades de control relevantes sobre las infraestructuras tecnológicas; los procesos de gestión de la seguridad y sobre los procesos de adquisición, desarrollo y mantenimiento de tecnologías</v>
      </c>
      <c r="G57" s="128">
        <f>+IFERROR(VLOOKUP(C57,Hoja1!$A$1:$K$82,11,0),"")</f>
        <v>2</v>
      </c>
      <c r="H57" s="130">
        <f>+IFERROR(VLOOKUP(C57,Hoja1!$A$1:$L$82,12,0),"")</f>
        <v>3</v>
      </c>
      <c r="I57" s="121" t="str">
        <f t="shared" si="1"/>
        <v>Se encuentra presente  y funcionando, pero requiere mejoras frente a su diseño, ya que  opera de manera efectiva</v>
      </c>
      <c r="J57" s="79">
        <v>43</v>
      </c>
      <c r="K57" s="119">
        <f>+VLOOKUP(C57,Hoja1!$A$1:$M$82,13,0)</f>
        <v>0.75</v>
      </c>
      <c r="L57" s="638"/>
      <c r="M57" s="76"/>
      <c r="N57" s="54"/>
      <c r="O57" s="54"/>
      <c r="P57" s="54"/>
      <c r="Q57" s="54"/>
      <c r="R57" s="54"/>
      <c r="S57" s="54"/>
    </row>
    <row r="58" spans="2:19" s="46" customFormat="1" ht="99.75" customHeight="1" x14ac:dyDescent="0.2">
      <c r="B58" s="127">
        <f t="shared" si="0"/>
        <v>44</v>
      </c>
      <c r="C58" s="128" t="str">
        <f>+IFERROR(INDEX(Hoja1!$A$2:$A$82,MATCH(J58,Hoja1!$H$2:$H$82,0)),"")</f>
        <v>10.1</v>
      </c>
      <c r="D58" s="129" t="str">
        <f>IFERROR(VLOOKUP(C58,Hoja1!$A$2:$H$82,4,0),"")</f>
        <v>Actividades de control</v>
      </c>
      <c r="E58" s="129" t="str">
        <f>+IFERROR(VLOOKUP(C58,Hoja1!$A$1:$J$82,10,0),"")</f>
        <v>Diseño y desarrollo de actividades de control (Integra el desarrollo de controles con la evaluación de riesgos; tiene en cuenta a qué nivel se aplican las actividades; facilita la segregación de funciones).</v>
      </c>
      <c r="F58" s="129" t="str">
        <f>+IFERROR(VLOOKUP(C58,Hoja1!$A$1:$I$82,3,0),"")</f>
        <v xml:space="preserve"> Para el desarrollo de las actividades de control, la entidad considera la adecuada división de las funciones y que éstas se encuentren segregadas en diferentes personas para reducir el riesgo de error o de incumplimientos de alto impacto en la operación</v>
      </c>
      <c r="G58" s="128">
        <f>+IFERROR(VLOOKUP(C58,Hoja1!$A$1:$K$82,11,0),"")</f>
        <v>3</v>
      </c>
      <c r="H58" s="130">
        <f>+IFERROR(VLOOKUP(C58,Hoja1!$A$1:$L$82,12,0),"")</f>
        <v>3</v>
      </c>
      <c r="I58" s="121" t="str">
        <f t="shared" si="1"/>
        <v>Se encuentra presente y funciona correctamente, por lo tanto se requiere acciones o actividades  dirigidas a su mantenimiento dentro del marco de las lineas de defensa.</v>
      </c>
      <c r="J58" s="79">
        <v>44</v>
      </c>
      <c r="K58" s="119">
        <f>+VLOOKUP(C58,Hoja1!$A$1:$M$82,13,0)</f>
        <v>1</v>
      </c>
      <c r="L58" s="638"/>
      <c r="M58" s="76"/>
      <c r="N58" s="54"/>
      <c r="O58" s="54"/>
      <c r="P58" s="54"/>
      <c r="Q58" s="54"/>
      <c r="R58" s="54"/>
      <c r="S58" s="54"/>
    </row>
    <row r="59" spans="2:19" s="46" customFormat="1" ht="99.75" customHeight="1" x14ac:dyDescent="0.2">
      <c r="B59" s="127">
        <f t="shared" si="0"/>
        <v>45</v>
      </c>
      <c r="C59" s="128" t="str">
        <f>+IFERROR(INDEX(Hoja1!$A$2:$A$82,MATCH(J59,Hoja1!$H$2:$H$82,0)),"")</f>
        <v>10.3</v>
      </c>
      <c r="D59" s="129" t="str">
        <f>IFERROR(VLOOKUP(C59,Hoja1!$A$2:$H$82,4,0),"")</f>
        <v>Actividades de control</v>
      </c>
      <c r="E59" s="129" t="str">
        <f>+IFERROR(VLOOKUP(C59,Hoja1!$A$1:$J$82,10,0),"")</f>
        <v>Diseño y desarrollo de actividades de control (Integra el desarrollo de controles con la evaluación de riesgos; tiene en cuenta a qué nivel se aplican las actividades; facilita la segregación de funciones).</v>
      </c>
      <c r="F59" s="129" t="str">
        <f>+IFERROR(VLOOKUP(C59,Hoja1!$A$1:$I$82,3,0),"")</f>
        <v xml:space="preserve"> El diseño de otros  sistemas de gestión (bajo normas o estándares internacionales como la ISO), se intregan de forma adecuada a la estructura de control de la entidad</v>
      </c>
      <c r="G59" s="128">
        <f>+IFERROR(VLOOKUP(C59,Hoja1!$A$1:$K$82,11,0),"")</f>
        <v>3</v>
      </c>
      <c r="H59" s="130">
        <f>+IFERROR(VLOOKUP(C59,Hoja1!$A$1:$L$82,12,0),"")</f>
        <v>3</v>
      </c>
      <c r="I59" s="121" t="str">
        <f t="shared" si="1"/>
        <v>Se encuentra presente y funciona correctamente, por lo tanto se requiere acciones o actividades  dirigidas a su mantenimiento dentro del marco de las lineas de defensa.</v>
      </c>
      <c r="J59" s="79">
        <v>45</v>
      </c>
      <c r="K59" s="119">
        <f>+VLOOKUP(C59,Hoja1!$A$1:$M$82,13,0)</f>
        <v>1</v>
      </c>
      <c r="L59" s="638"/>
      <c r="M59" s="76"/>
      <c r="N59" s="54"/>
      <c r="O59" s="54"/>
      <c r="P59" s="54"/>
      <c r="Q59" s="54"/>
      <c r="R59" s="54"/>
      <c r="S59" s="54"/>
    </row>
    <row r="60" spans="2:19" s="46" customFormat="1" ht="99.75" customHeight="1" x14ac:dyDescent="0.2">
      <c r="B60" s="131">
        <f t="shared" si="0"/>
        <v>46</v>
      </c>
      <c r="C60" s="128" t="str">
        <f>+IFERROR(INDEX(Hoja1!$A$2:$A$82,MATCH(J60,Hoja1!$H$2:$H$82,0)),"")</f>
        <v>11.2</v>
      </c>
      <c r="D60" s="129" t="str">
        <f>IFERROR(VLOOKUP(C60,Hoja1!$A$2:$H$82,4,0),"")</f>
        <v>Actividades de control</v>
      </c>
      <c r="E60" s="129" t="str">
        <f>+IFERROR(VLOOKUP(C60,Hoja1!$A$1:$J$82,10,0),"")</f>
        <v>Seleccionar y Desarrolla controles generales sobre TI para apoyar la consecución de los objetivos .</v>
      </c>
      <c r="F60" s="129" t="str">
        <f>+IFERROR(VLOOKUP(C60,Hoja1!$A$1:$I$82,3,0),"")</f>
        <v xml:space="preserve">  Para los proveedores de tecnología  selecciona y desarrolla actividades de control internas sobre las actividades realizadas por el proveedor de servicios</v>
      </c>
      <c r="G60" s="128">
        <f>+IFERROR(VLOOKUP(C60,Hoja1!$A$1:$K$82,11,0),"")</f>
        <v>3</v>
      </c>
      <c r="H60" s="130">
        <f>+IFERROR(VLOOKUP(C60,Hoja1!$A$1:$L$82,12,0),"")</f>
        <v>3</v>
      </c>
      <c r="I60" s="121" t="str">
        <f t="shared" si="1"/>
        <v>Se encuentra presente y funciona correctamente, por lo tanto se requiere acciones o actividades  dirigidas a su mantenimiento dentro del marco de las lineas de defensa.</v>
      </c>
      <c r="J60" s="79">
        <v>46</v>
      </c>
      <c r="K60" s="119">
        <f>+VLOOKUP(C60,Hoja1!$A$1:$M$82,13,0)</f>
        <v>1</v>
      </c>
      <c r="L60" s="638"/>
      <c r="M60" s="76"/>
      <c r="N60" s="54"/>
      <c r="O60" s="54"/>
      <c r="P60" s="54"/>
      <c r="Q60" s="54"/>
      <c r="R60" s="54"/>
      <c r="S60" s="54"/>
    </row>
    <row r="61" spans="2:19" s="46" customFormat="1" ht="99.75" customHeight="1" x14ac:dyDescent="0.2">
      <c r="B61" s="127">
        <f t="shared" si="0"/>
        <v>47</v>
      </c>
      <c r="C61" s="128" t="str">
        <f>+IFERROR(INDEX(Hoja1!$A$2:$A$82,MATCH(J61,Hoja1!$H$2:$H$82,0)),"")</f>
        <v>11.3</v>
      </c>
      <c r="D61" s="129" t="str">
        <f>IFERROR(VLOOKUP(C61,Hoja1!$A$2:$H$82,4,0),"")</f>
        <v>Actividades de control</v>
      </c>
      <c r="E61" s="129" t="str">
        <f>+IFERROR(VLOOKUP(C61,Hoja1!$A$1:$J$82,10,0),"")</f>
        <v>Seleccionar y Desarrolla controles generales sobre TI para apoyar la consecución de los objetivos .</v>
      </c>
      <c r="F61" s="129" t="str">
        <f>+IFERROR(VLOOKUP(C61,Hoja1!$A$1:$I$82,3,0),"")</f>
        <v xml:space="preserve"> Se cuenta con matrices de roles y usuarios siguiendo los principios de segregación de funciones.</v>
      </c>
      <c r="G61" s="128">
        <f>+IFERROR(VLOOKUP(C61,Hoja1!$A$1:$K$82,11,0),"")</f>
        <v>3</v>
      </c>
      <c r="H61" s="130">
        <f>+IFERROR(VLOOKUP(C61,Hoja1!$A$1:$L$82,12,0),"")</f>
        <v>3</v>
      </c>
      <c r="I61" s="121" t="str">
        <f t="shared" si="1"/>
        <v>Se encuentra presente y funciona correctamente, por lo tanto se requiere acciones o actividades  dirigidas a su mantenimiento dentro del marco de las lineas de defensa.</v>
      </c>
      <c r="J61" s="79">
        <v>47</v>
      </c>
      <c r="K61" s="119">
        <f>+VLOOKUP(C61,Hoja1!$A$1:$M$82,13,0)</f>
        <v>1</v>
      </c>
      <c r="L61" s="638"/>
      <c r="M61" s="76"/>
      <c r="N61" s="54"/>
      <c r="O61" s="54"/>
      <c r="P61" s="54"/>
      <c r="Q61" s="54"/>
      <c r="R61" s="54"/>
      <c r="S61" s="54"/>
    </row>
    <row r="62" spans="2:19" s="46" customFormat="1" ht="99.75" customHeight="1" x14ac:dyDescent="0.2">
      <c r="B62" s="131">
        <f t="shared" si="0"/>
        <v>48</v>
      </c>
      <c r="C62" s="128" t="str">
        <f>+IFERROR(INDEX(Hoja1!$A$2:$A$82,MATCH(J62,Hoja1!$H$2:$H$82,0)),"")</f>
        <v>11.4</v>
      </c>
      <c r="D62" s="129" t="str">
        <f>IFERROR(VLOOKUP(C62,Hoja1!$A$2:$H$82,4,0),"")</f>
        <v>Actividades de control</v>
      </c>
      <c r="E62" s="129" t="str">
        <f>+IFERROR(VLOOKUP(C62,Hoja1!$A$1:$J$82,10,0),"")</f>
        <v>Seleccionar y Desarrolla controles generales sobre TI para apoyar la consecución de los objetivos .</v>
      </c>
      <c r="F62" s="129" t="str">
        <f>+IFERROR(VLOOKUP(C62,Hoja1!$A$1:$I$82,3,0),"")</f>
        <v xml:space="preserve"> Se cuenta con información de la 3a línea de defensa, como evaluador independiente en relación con los controles implementados por el proveedor de servicios, para  asegurar que los riesgos relacionados se mitigan.</v>
      </c>
      <c r="G62" s="128">
        <f>+IFERROR(VLOOKUP(C62,Hoja1!$A$1:$K$82,11,0),"")</f>
        <v>3</v>
      </c>
      <c r="H62" s="130">
        <f>+IFERROR(VLOOKUP(C62,Hoja1!$A$1:$L$82,12,0),"")</f>
        <v>3</v>
      </c>
      <c r="I62" s="121" t="str">
        <f t="shared" si="1"/>
        <v>Se encuentra presente y funciona correctamente, por lo tanto se requiere acciones o actividades  dirigidas a su mantenimiento dentro del marco de las lineas de defensa.</v>
      </c>
      <c r="J62" s="79">
        <v>48</v>
      </c>
      <c r="K62" s="119">
        <f>+VLOOKUP(C62,Hoja1!$A$1:$M$82,13,0)</f>
        <v>1</v>
      </c>
      <c r="L62" s="638"/>
      <c r="M62" s="76"/>
      <c r="N62" s="54"/>
      <c r="O62" s="54"/>
      <c r="P62" s="54"/>
      <c r="Q62" s="54"/>
      <c r="R62" s="54"/>
      <c r="S62" s="54"/>
    </row>
    <row r="63" spans="2:19" s="46" customFormat="1" ht="99.75" customHeight="1" x14ac:dyDescent="0.2">
      <c r="B63" s="127">
        <f t="shared" si="0"/>
        <v>49</v>
      </c>
      <c r="C63" s="128" t="str">
        <f>+IFERROR(INDEX(Hoja1!$A$2:$A$82,MATCH(J63,Hoja1!$H$2:$H$82,0)),"")</f>
        <v>12.1</v>
      </c>
      <c r="D63" s="129" t="str">
        <f>IFERROR(VLOOKUP(C63,Hoja1!$A$2:$H$82,4,0),"")</f>
        <v>Actividades de control</v>
      </c>
      <c r="E63" s="129" t="str">
        <f>+IFERROR(VLOOKUP(C63,Hoja1!$A$1:$J$82,10,0),"")</f>
        <v>Despliegue de políticas y procedimientos (Establece responsabilidades sobre la ejecución de las políticas y procedimientos; Adopta medidas correctivas; Revisa las políticas y procedimientos).</v>
      </c>
      <c r="F63" s="129" t="str">
        <f>+IFERROR(VLOOKUP(C63,Hoja1!$A$1:$I$82,3,0),"")</f>
        <v xml:space="preserve"> Se evalúa la actualización de procesos, procedimientos, políticas de operación, instructivos, manuales u otras herramientas para garantizar la aplicación adecuada de las principales actividades de control.
</v>
      </c>
      <c r="G63" s="128">
        <f>+IFERROR(VLOOKUP(C63,Hoja1!$A$1:$K$82,11,0),"")</f>
        <v>3</v>
      </c>
      <c r="H63" s="130">
        <f>+IFERROR(VLOOKUP(C63,Hoja1!$A$1:$L$82,12,0),"")</f>
        <v>3</v>
      </c>
      <c r="I63" s="121" t="str">
        <f t="shared" si="1"/>
        <v>Se encuentra presente y funciona correctamente, por lo tanto se requiere acciones o actividades  dirigidas a su mantenimiento dentro del marco de las lineas de defensa.</v>
      </c>
      <c r="J63" s="79">
        <v>49</v>
      </c>
      <c r="K63" s="119">
        <f>+VLOOKUP(C63,Hoja1!$A$1:$M$82,13,0)</f>
        <v>1</v>
      </c>
      <c r="L63" s="638"/>
      <c r="M63" s="76"/>
      <c r="N63" s="54"/>
      <c r="O63" s="54"/>
      <c r="P63" s="54"/>
      <c r="Q63" s="54"/>
      <c r="R63" s="54"/>
      <c r="S63" s="54"/>
    </row>
    <row r="64" spans="2:19" s="46" customFormat="1" ht="99.75" customHeight="1" x14ac:dyDescent="0.2">
      <c r="B64" s="127">
        <f t="shared" si="0"/>
        <v>50</v>
      </c>
      <c r="C64" s="128" t="str">
        <f>+IFERROR(INDEX(Hoja1!$A$2:$A$82,MATCH(J64,Hoja1!$H$2:$H$82,0)),"")</f>
        <v>12.2</v>
      </c>
      <c r="D64" s="129" t="str">
        <f>IFERROR(VLOOKUP(C64,Hoja1!$A$2:$H$82,4,0),"")</f>
        <v>Actividades de control</v>
      </c>
      <c r="E64" s="129" t="str">
        <f>+IFERROR(VLOOKUP(C64,Hoja1!$A$1:$J$82,10,0),"")</f>
        <v>Despliegue de políticas y procedimientos (Establece responsabilidades sobre la ejecución de las políticas y procedimientos; Adopta medidas correctivas; Revisa las políticas y procedimientos).</v>
      </c>
      <c r="F64" s="129" t="str">
        <f>+IFERROR(VLOOKUP(C64,Hoja1!$A$1:$I$82,3,0),"")</f>
        <v xml:space="preserve"> El diseño de controles se evalúa frente a la gestión del riesgo</v>
      </c>
      <c r="G64" s="128">
        <f>+IFERROR(VLOOKUP(C64,Hoja1!$A$1:$K$82,11,0),"")</f>
        <v>3</v>
      </c>
      <c r="H64" s="130">
        <f>+IFERROR(VLOOKUP(C64,Hoja1!$A$1:$L$82,12,0),"")</f>
        <v>3</v>
      </c>
      <c r="I64" s="121" t="str">
        <f t="shared" si="1"/>
        <v>Se encuentra presente y funciona correctamente, por lo tanto se requiere acciones o actividades  dirigidas a su mantenimiento dentro del marco de las lineas de defensa.</v>
      </c>
      <c r="J64" s="79">
        <v>50</v>
      </c>
      <c r="K64" s="119">
        <f>+VLOOKUP(C64,Hoja1!$A$1:$M$82,13,0)</f>
        <v>1</v>
      </c>
      <c r="L64" s="638"/>
      <c r="M64" s="76"/>
      <c r="N64" s="54"/>
      <c r="O64" s="54"/>
      <c r="P64" s="54"/>
      <c r="Q64" s="54"/>
      <c r="R64" s="54"/>
      <c r="S64" s="54"/>
    </row>
    <row r="65" spans="2:19" s="46" customFormat="1" ht="99.75" customHeight="1" x14ac:dyDescent="0.2">
      <c r="B65" s="127">
        <f t="shared" si="0"/>
        <v>51</v>
      </c>
      <c r="C65" s="128" t="str">
        <f>+IFERROR(INDEX(Hoja1!$A$2:$A$82,MATCH(J65,Hoja1!$H$2:$H$82,0)),"")</f>
        <v>12.3</v>
      </c>
      <c r="D65" s="129" t="str">
        <f>IFERROR(VLOOKUP(C65,Hoja1!$A$2:$H$82,4,0),"")</f>
        <v>Actividades de control</v>
      </c>
      <c r="E65" s="129" t="str">
        <f>+IFERROR(VLOOKUP(C65,Hoja1!$A$1:$J$82,10,0),"")</f>
        <v>Despliegue de políticas y procedimientos (Establece responsabilidades sobre la ejecución de las políticas y procedimientos; Adopta medidas correctivas; Revisa las políticas y procedimientos).</v>
      </c>
      <c r="F65" s="129" t="str">
        <f>+IFERROR(VLOOKUP(C65,Hoja1!$A$1:$I$82,3,0),"")</f>
        <v xml:space="preserve"> Monitoreo a los riesgos acorde con la política de administración de riesgo establecida para la entidad.</v>
      </c>
      <c r="G65" s="128">
        <f>+IFERROR(VLOOKUP(C65,Hoja1!$A$1:$K$82,11,0),"")</f>
        <v>3</v>
      </c>
      <c r="H65" s="130">
        <f>+IFERROR(VLOOKUP(C65,Hoja1!$A$1:$L$82,12,0),"")</f>
        <v>3</v>
      </c>
      <c r="I65" s="121" t="str">
        <f t="shared" si="1"/>
        <v>Se encuentra presente y funciona correctamente, por lo tanto se requiere acciones o actividades  dirigidas a su mantenimiento dentro del marco de las lineas de defensa.</v>
      </c>
      <c r="J65" s="79">
        <v>51</v>
      </c>
      <c r="K65" s="119">
        <f>+VLOOKUP(C65,Hoja1!$A$1:$M$82,13,0)</f>
        <v>1</v>
      </c>
      <c r="L65" s="638"/>
      <c r="M65" s="76"/>
      <c r="N65" s="54"/>
      <c r="O65" s="54"/>
      <c r="P65" s="54"/>
      <c r="Q65" s="54"/>
      <c r="R65" s="54"/>
      <c r="S65" s="54"/>
    </row>
    <row r="66" spans="2:19" s="46" customFormat="1" ht="99.75" customHeight="1" x14ac:dyDescent="0.2">
      <c r="B66" s="131">
        <f t="shared" si="0"/>
        <v>52</v>
      </c>
      <c r="C66" s="128" t="str">
        <f>+IFERROR(INDEX(Hoja1!$A$2:$A$82,MATCH(J66,Hoja1!$H$2:$H$82,0)),"")</f>
        <v>12.4</v>
      </c>
      <c r="D66" s="129" t="str">
        <f>IFERROR(VLOOKUP(C66,Hoja1!$A$2:$H$82,4,0),"")</f>
        <v>Actividades de control</v>
      </c>
      <c r="E66" s="129" t="str">
        <f>+IFERROR(VLOOKUP(C66,Hoja1!$A$1:$J$82,10,0),"")</f>
        <v>Despliegue de políticas y procedimientos (Establece responsabilidades sobre la ejecución de las políticas y procedimientos; Adopta medidas correctivas; Revisa las políticas y procedimientos).</v>
      </c>
      <c r="F66" s="129" t="str">
        <f>+IFERROR(VLOOKUP(C66,Hoja1!$A$1:$I$82,3,0),"")</f>
        <v>Verificación de que los responsables estén ejecutando los controles tal como han sido diseñados</v>
      </c>
      <c r="G66" s="128">
        <f>+IFERROR(VLOOKUP(C66,Hoja1!$A$1:$K$82,11,0),"")</f>
        <v>3</v>
      </c>
      <c r="H66" s="130">
        <f>+IFERROR(VLOOKUP(C66,Hoja1!$A$1:$L$82,12,0),"")</f>
        <v>3</v>
      </c>
      <c r="I66" s="121" t="str">
        <f t="shared" si="1"/>
        <v>Se encuentra presente y funciona correctamente, por lo tanto se requiere acciones o actividades  dirigidas a su mantenimiento dentro del marco de las lineas de defensa.</v>
      </c>
      <c r="J66" s="79">
        <v>52</v>
      </c>
      <c r="K66" s="119">
        <f>+VLOOKUP(C66,Hoja1!$A$1:$M$82,13,0)</f>
        <v>1</v>
      </c>
      <c r="L66" s="638"/>
      <c r="M66" s="76"/>
      <c r="N66" s="54"/>
      <c r="O66" s="54"/>
      <c r="P66" s="54"/>
      <c r="Q66" s="54"/>
      <c r="R66" s="54"/>
      <c r="S66" s="54"/>
    </row>
    <row r="67" spans="2:19" s="46" customFormat="1" ht="99.75" customHeight="1" x14ac:dyDescent="0.2">
      <c r="B67" s="127">
        <f t="shared" si="0"/>
        <v>53</v>
      </c>
      <c r="C67" s="128" t="str">
        <f>+IFERROR(INDEX(Hoja1!$A$2:$A$82,MATCH(J67,Hoja1!$H$2:$H$82,0)),"")</f>
        <v>12.5</v>
      </c>
      <c r="D67" s="129" t="str">
        <f>IFERROR(VLOOKUP(C67,Hoja1!$A$2:$H$82,4,0),"")</f>
        <v>Actividades de control</v>
      </c>
      <c r="E67" s="129" t="str">
        <f>+IFERROR(VLOOKUP(C67,Hoja1!$A$1:$J$82,10,0),"")</f>
        <v>Despliegue de políticas y procedimientos (Establece responsabilidades sobre la ejecución de las políticas y procedimientos; Adopta medidas correctivas; Revisa las políticas y procedimientos).</v>
      </c>
      <c r="F67" s="129" t="str">
        <f>+IFERROR(VLOOKUP(C67,Hoja1!$A$1:$I$82,3,0),"")</f>
        <v xml:space="preserve"> Se evalúa la adecuación de los controles a las especificidades de cada proceso, considerando cambios en regulaciones, estructuras internas u otros aspectos que determinen cambios en su diseño</v>
      </c>
      <c r="G67" s="128">
        <f>+IFERROR(VLOOKUP(C67,Hoja1!$A$1:$K$82,11,0),"")</f>
        <v>3</v>
      </c>
      <c r="H67" s="130">
        <f>+IFERROR(VLOOKUP(C67,Hoja1!$A$1:$L$82,12,0),"")</f>
        <v>3</v>
      </c>
      <c r="I67" s="121" t="str">
        <f t="shared" si="1"/>
        <v>Se encuentra presente y funciona correctamente, por lo tanto se requiere acciones o actividades  dirigidas a su mantenimiento dentro del marco de las lineas de defensa.</v>
      </c>
      <c r="J67" s="79">
        <v>53</v>
      </c>
      <c r="K67" s="119">
        <f>+VLOOKUP(C67,Hoja1!$A$1:$M$82,13,0)</f>
        <v>1</v>
      </c>
      <c r="L67" s="638"/>
      <c r="M67" s="76"/>
      <c r="N67" s="54"/>
      <c r="O67" s="54"/>
      <c r="P67" s="54"/>
      <c r="Q67" s="54"/>
      <c r="R67" s="54"/>
      <c r="S67" s="54"/>
    </row>
    <row r="68" spans="2:19" s="46" customFormat="1" ht="99.75" customHeight="1" x14ac:dyDescent="0.2">
      <c r="B68" s="131">
        <f t="shared" si="0"/>
        <v>54</v>
      </c>
      <c r="C68" s="128" t="str">
        <f>+IFERROR(INDEX(Hoja1!$A$2:$A$82,MATCH(J68,Hoja1!$H$2:$H$82,0)),"")</f>
        <v>13.1</v>
      </c>
      <c r="D68" s="129" t="str">
        <f>IFERROR(VLOOKUP(C68,Hoja1!$A$2:$H$82,4,0),"")</f>
        <v>Info y Comunicación</v>
      </c>
      <c r="E68" s="129" t="str">
        <f>+IFERROR(VLOOKUP(C68,Hoja1!$A$1:$J$82,10,0),"")</f>
        <v>Utilización de información relevante (Identifica requisitos de información; Capta fuentes de datos internas y externas; Procesa datos relevantes y los transforma en información).</v>
      </c>
      <c r="F68" s="129" t="str">
        <f>+IFERROR(VLOOKUP(C68,Hoja1!$A$1:$I$82,3,0),"")</f>
        <v>La entidad ha diseñado sistemas de información para capturar y procesar datos y transformarlos en información para alcanzar los requerimientos de información definidos</v>
      </c>
      <c r="G68" s="128">
        <f>+IFERROR(VLOOKUP(C68,Hoja1!$A$1:$K$82,11,0),"")</f>
        <v>3</v>
      </c>
      <c r="H68" s="130">
        <f>+IFERROR(VLOOKUP(C68,Hoja1!$A$1:$L$82,12,0),"")</f>
        <v>3</v>
      </c>
      <c r="I68" s="121" t="str">
        <f t="shared" si="1"/>
        <v>Se encuentra presente y funciona correctamente, por lo tanto se requiere acciones o actividades  dirigidas a su mantenimiento dentro del marco de las lineas de defensa.</v>
      </c>
      <c r="J68" s="79">
        <v>54</v>
      </c>
      <c r="K68" s="119">
        <f>+VLOOKUP(C68,Hoja1!$A$1:$M$82,13,0)</f>
        <v>1</v>
      </c>
      <c r="L68" s="638">
        <f>+AVERAGE(K68:K81)</f>
        <v>1</v>
      </c>
      <c r="M68" s="76"/>
      <c r="N68" s="54"/>
      <c r="O68" s="54"/>
      <c r="P68" s="54"/>
      <c r="Q68" s="54"/>
      <c r="R68" s="54"/>
      <c r="S68" s="54"/>
    </row>
    <row r="69" spans="2:19" s="46" customFormat="1" ht="99.75" customHeight="1" x14ac:dyDescent="0.2">
      <c r="B69" s="127">
        <f t="shared" si="0"/>
        <v>55</v>
      </c>
      <c r="C69" s="128" t="str">
        <f>+IFERROR(INDEX(Hoja1!$A$2:$A$82,MATCH(J69,Hoja1!$H$2:$H$82,0)),"")</f>
        <v>13.2</v>
      </c>
      <c r="D69" s="129" t="str">
        <f>IFERROR(VLOOKUP(C69,Hoja1!$A$2:$H$82,4,0),"")</f>
        <v>Info y Comunicación</v>
      </c>
      <c r="E69" s="129" t="str">
        <f>+IFERROR(VLOOKUP(C69,Hoja1!$A$1:$J$82,10,0),"")</f>
        <v>Utilización de información relevante (Identifica requisitos de información; Capta fuentes de datos internas y externas; Procesa datos relevantes y los transforma en información).</v>
      </c>
      <c r="F69" s="129" t="str">
        <f>+IFERROR(VLOOKUP(C69,Hoja1!$A$1:$I$82,3,0),"")</f>
        <v xml:space="preserve"> La entidad cuenta con el inventario de información relevante (interno/externa) y cuenta con un mecanismo que permita su actualización</v>
      </c>
      <c r="G69" s="128">
        <f>+IFERROR(VLOOKUP(C69,Hoja1!$A$1:$K$82,11,0),"")</f>
        <v>3</v>
      </c>
      <c r="H69" s="130">
        <f>+IFERROR(VLOOKUP(C69,Hoja1!$A$1:$L$82,12,0),"")</f>
        <v>3</v>
      </c>
      <c r="I69" s="121" t="str">
        <f t="shared" si="1"/>
        <v>Se encuentra presente y funciona correctamente, por lo tanto se requiere acciones o actividades  dirigidas a su mantenimiento dentro del marco de las lineas de defensa.</v>
      </c>
      <c r="J69" s="79">
        <v>55</v>
      </c>
      <c r="K69" s="119">
        <f>+VLOOKUP(C69,Hoja1!$A$1:$M$82,13,0)</f>
        <v>1</v>
      </c>
      <c r="L69" s="638"/>
      <c r="M69" s="76"/>
      <c r="N69" s="54"/>
      <c r="O69" s="54"/>
      <c r="P69" s="54"/>
      <c r="Q69" s="54"/>
      <c r="R69" s="54"/>
      <c r="S69" s="54"/>
    </row>
    <row r="70" spans="2:19" s="46" customFormat="1" ht="99.75" customHeight="1" x14ac:dyDescent="0.2">
      <c r="B70" s="127">
        <f t="shared" si="0"/>
        <v>56</v>
      </c>
      <c r="C70" s="128" t="str">
        <f>+IFERROR(INDEX(Hoja1!$A$2:$A$82,MATCH(J70,Hoja1!$H$2:$H$82,0)),"")</f>
        <v>13.3</v>
      </c>
      <c r="D70" s="129" t="str">
        <f>IFERROR(VLOOKUP(C70,Hoja1!$A$2:$H$82,4,0),"")</f>
        <v>Info y Comunicación</v>
      </c>
      <c r="E70" s="129" t="str">
        <f>+IFERROR(VLOOKUP(C70,Hoja1!$A$1:$J$82,10,0),"")</f>
        <v>Utilización de información relevante (Identifica requisitos de información; Capta fuentes de datos internas y externas; Procesa datos relevantes y los transforma en información).</v>
      </c>
      <c r="F70" s="129" t="str">
        <f>+IFERROR(VLOOKUP(C70,Hoja1!$A$1:$I$82,3,0),"")</f>
        <v>La entidad considera un ámbito amplio de fuentes de datos (internas y externas), para la captura y procesamiento posterior de información clave para la consecución de metas y objetivos</v>
      </c>
      <c r="G70" s="128">
        <f>+IFERROR(VLOOKUP(C70,Hoja1!$A$1:$K$82,11,0),"")</f>
        <v>3</v>
      </c>
      <c r="H70" s="130">
        <f>+IFERROR(VLOOKUP(C70,Hoja1!$A$1:$L$82,12,0),"")</f>
        <v>3</v>
      </c>
      <c r="I70" s="121" t="str">
        <f t="shared" si="1"/>
        <v>Se encuentra presente y funciona correctamente, por lo tanto se requiere acciones o actividades  dirigidas a su mantenimiento dentro del marco de las lineas de defensa.</v>
      </c>
      <c r="J70" s="79">
        <v>56</v>
      </c>
      <c r="K70" s="119">
        <f>+VLOOKUP(C70,Hoja1!$A$1:$M$82,13,0)</f>
        <v>1</v>
      </c>
      <c r="L70" s="638"/>
      <c r="M70" s="76"/>
      <c r="N70" s="54"/>
      <c r="O70" s="54"/>
      <c r="P70" s="54"/>
      <c r="Q70" s="54"/>
      <c r="R70" s="54"/>
      <c r="S70" s="54"/>
    </row>
    <row r="71" spans="2:19" s="46" customFormat="1" ht="99.75" customHeight="1" x14ac:dyDescent="0.2">
      <c r="B71" s="127">
        <f t="shared" si="0"/>
        <v>57</v>
      </c>
      <c r="C71" s="128" t="str">
        <f>+IFERROR(INDEX(Hoja1!$A$2:$A$82,MATCH(J71,Hoja1!$H$2:$H$82,0)),"")</f>
        <v>13.4</v>
      </c>
      <c r="D71" s="129" t="str">
        <f>IFERROR(VLOOKUP(C71,Hoja1!$A$2:$H$82,4,0),"")</f>
        <v>Info y Comunicación</v>
      </c>
      <c r="E71" s="129" t="str">
        <f>+IFERROR(VLOOKUP(C71,Hoja1!$A$1:$J$82,10,0),"")</f>
        <v>Utilización de información relevante (Identifica requisitos de información; Capta fuentes de datos internas y externas; Procesa datos relevantes y los transforma en información).</v>
      </c>
      <c r="F71" s="129" t="str">
        <f>+IFERROR(VLOOKUP(C71,Hoja1!$A$1:$I$82,3,0),"")</f>
        <v>La entidad ha desarrollado e implementado actividades de control sobre la integridad, confidencialidad y disponibilidad de los datos e información definidos como relevantes</v>
      </c>
      <c r="G71" s="128">
        <f>+IFERROR(VLOOKUP(C71,Hoja1!$A$1:$K$82,11,0),"")</f>
        <v>3</v>
      </c>
      <c r="H71" s="130">
        <f>+IFERROR(VLOOKUP(C71,Hoja1!$A$1:$L$82,12,0),"")</f>
        <v>3</v>
      </c>
      <c r="I71" s="121" t="str">
        <f t="shared" si="1"/>
        <v>Se encuentra presente y funciona correctamente, por lo tanto se requiere acciones o actividades  dirigidas a su mantenimiento dentro del marco de las lineas de defensa.</v>
      </c>
      <c r="J71" s="79">
        <v>57</v>
      </c>
      <c r="K71" s="119">
        <f>+VLOOKUP(C71,Hoja1!$A$1:$M$82,13,0)</f>
        <v>1</v>
      </c>
      <c r="L71" s="638"/>
      <c r="M71" s="76"/>
      <c r="N71" s="54"/>
      <c r="O71" s="54"/>
      <c r="P71" s="54"/>
      <c r="Q71" s="54"/>
      <c r="R71" s="54"/>
      <c r="S71" s="54"/>
    </row>
    <row r="72" spans="2:19" s="46" customFormat="1" ht="99.75" customHeight="1" x14ac:dyDescent="0.2">
      <c r="B72" s="131">
        <f t="shared" si="0"/>
        <v>58</v>
      </c>
      <c r="C72" s="128" t="str">
        <f>+IFERROR(INDEX(Hoja1!$A$2:$A$82,MATCH(J72,Hoja1!$H$2:$H$82,0)),"")</f>
        <v>14.1</v>
      </c>
      <c r="D72" s="129" t="str">
        <f>IFERROR(VLOOKUP(C72,Hoja1!$A$2:$H$82,4,0),"")</f>
        <v>Info y Comunicación</v>
      </c>
      <c r="E72" s="129" t="str">
        <f>+IFERROR(VLOOKUP(C72,Hoja1!$A$1:$J$82,10,0),"")</f>
        <v>Comunicación Interna (Se comunica con el Comité Institucional de Coordinación de Control Interno o su equivalente; Facilita líneas de comunicación en todos los niveles; Selecciona el método de comunicación pertinente).</v>
      </c>
      <c r="F72" s="129" t="str">
        <f>+IFERROR(VLOOKUP(C72,Hoja1!$A$1:$I$82,3,0),"")</f>
        <v>Para la comunicación interna la Alta Dirección tiene mecanismos que permitan dar a conocer los objetivos y metas estratégicas, de manera tal que todo el personal entiende su papel en su consecución. (Considera los canales más apropiados y evalúa su efectividad)</v>
      </c>
      <c r="G72" s="128">
        <f>+IFERROR(VLOOKUP(C72,Hoja1!$A$1:$K$82,11,0),"")</f>
        <v>3</v>
      </c>
      <c r="H72" s="130">
        <f>+IFERROR(VLOOKUP(C72,Hoja1!$A$1:$L$82,12,0),"")</f>
        <v>3</v>
      </c>
      <c r="I72" s="121" t="str">
        <f t="shared" si="1"/>
        <v>Se encuentra presente y funciona correctamente, por lo tanto se requiere acciones o actividades  dirigidas a su mantenimiento dentro del marco de las lineas de defensa.</v>
      </c>
      <c r="J72" s="79">
        <v>58</v>
      </c>
      <c r="K72" s="119">
        <f>+VLOOKUP(C72,Hoja1!$A$1:$M$82,13,0)</f>
        <v>1</v>
      </c>
      <c r="L72" s="638"/>
      <c r="M72" s="76"/>
      <c r="N72" s="54"/>
      <c r="O72" s="54"/>
      <c r="P72" s="54"/>
      <c r="Q72" s="54"/>
      <c r="R72" s="54"/>
      <c r="S72" s="54"/>
    </row>
    <row r="73" spans="2:19" s="46" customFormat="1" ht="99.75" customHeight="1" x14ac:dyDescent="0.2">
      <c r="B73" s="127">
        <f t="shared" si="0"/>
        <v>59</v>
      </c>
      <c r="C73" s="128" t="str">
        <f>+IFERROR(INDEX(Hoja1!$A$2:$A$82,MATCH(J73,Hoja1!$H$2:$H$82,0)),"")</f>
        <v>14.2</v>
      </c>
      <c r="D73" s="129" t="str">
        <f>IFERROR(VLOOKUP(C73,Hoja1!$A$2:$H$82,4,0),"")</f>
        <v>Info y Comunicación</v>
      </c>
      <c r="E73" s="129" t="str">
        <f>+IFERROR(VLOOKUP(C73,Hoja1!$A$1:$J$82,10,0),"")</f>
        <v>Comunicación Interna (Se comunica con el Comité Institucional de Coordinación de Control Interno o su equivalente; Facilita líneas de comunicación en todos los niveles; Selecciona el método de comunicación pertinente).</v>
      </c>
      <c r="F73" s="129" t="str">
        <f>+IFERROR(VLOOKUP(C73,Hoja1!$A$1:$I$82,3,0),"")</f>
        <v>La entidad cuenta con políticas de operación relacionadas con la administración de la información (niveles de autoridad y responsabilidad</v>
      </c>
      <c r="G73" s="128">
        <f>+IFERROR(VLOOKUP(C73,Hoja1!$A$1:$K$82,11,0),"")</f>
        <v>3</v>
      </c>
      <c r="H73" s="130">
        <f>+IFERROR(VLOOKUP(C73,Hoja1!$A$1:$L$82,12,0),"")</f>
        <v>3</v>
      </c>
      <c r="I73" s="121" t="str">
        <f t="shared" si="1"/>
        <v>Se encuentra presente y funciona correctamente, por lo tanto se requiere acciones o actividades  dirigidas a su mantenimiento dentro del marco de las lineas de defensa.</v>
      </c>
      <c r="J73" s="79">
        <v>59</v>
      </c>
      <c r="K73" s="119">
        <f>+VLOOKUP(C73,Hoja1!$A$1:$M$82,13,0)</f>
        <v>1</v>
      </c>
      <c r="L73" s="638"/>
      <c r="M73" s="76"/>
      <c r="N73" s="54"/>
      <c r="O73" s="54"/>
      <c r="P73" s="54"/>
      <c r="Q73" s="54"/>
      <c r="R73" s="54"/>
      <c r="S73" s="54"/>
    </row>
    <row r="74" spans="2:19" s="46" customFormat="1" ht="99.75" customHeight="1" x14ac:dyDescent="0.2">
      <c r="B74" s="131">
        <f t="shared" si="0"/>
        <v>60</v>
      </c>
      <c r="C74" s="128" t="str">
        <f>+IFERROR(INDEX(Hoja1!$A$2:$A$82,MATCH(J74,Hoja1!$H$2:$H$82,0)),"")</f>
        <v>14.3</v>
      </c>
      <c r="D74" s="129" t="str">
        <f>IFERROR(VLOOKUP(C74,Hoja1!$A$2:$H$82,4,0),"")</f>
        <v>Info y Comunicación</v>
      </c>
      <c r="E74" s="129" t="str">
        <f>+IFERROR(VLOOKUP(C74,Hoja1!$A$1:$J$82,10,0),"")</f>
        <v>Comunicación Interna (Se comunica con el Comité Institucional de Coordinación de Control Interno o su equivalente; Facilita líneas de comunicación en todos los niveles; Selecciona el método de comunicación pertinente).</v>
      </c>
      <c r="F74" s="129" t="str">
        <f>+IFERROR(VLOOKUP(C74,Hoja1!$A$1:$I$82,3,0),"")</f>
        <v>La entidad cuenta con canales de información internos para la denuncia anónima o confidencial de posibles situaciones irregulares y se cuenta con mecanismos específicos para su manejo, de manera tal que generen la confianza para utilizarlos</v>
      </c>
      <c r="G74" s="128">
        <f>+IFERROR(VLOOKUP(C74,Hoja1!$A$1:$K$82,11,0),"")</f>
        <v>3</v>
      </c>
      <c r="H74" s="130">
        <f>+IFERROR(VLOOKUP(C74,Hoja1!$A$1:$L$82,12,0),"")</f>
        <v>3</v>
      </c>
      <c r="I74" s="121" t="str">
        <f t="shared" si="1"/>
        <v>Se encuentra presente y funciona correctamente, por lo tanto se requiere acciones o actividades  dirigidas a su mantenimiento dentro del marco de las lineas de defensa.</v>
      </c>
      <c r="J74" s="79">
        <v>60</v>
      </c>
      <c r="K74" s="119">
        <f>+VLOOKUP(C74,Hoja1!$A$1:$M$82,13,0)</f>
        <v>1</v>
      </c>
      <c r="L74" s="638"/>
      <c r="M74" s="76"/>
      <c r="N74" s="54"/>
      <c r="O74" s="54"/>
      <c r="P74" s="54"/>
      <c r="Q74" s="54"/>
      <c r="R74" s="54"/>
      <c r="S74" s="54"/>
    </row>
    <row r="75" spans="2:19" s="46" customFormat="1" ht="99.75" customHeight="1" x14ac:dyDescent="0.2">
      <c r="B75" s="127">
        <f t="shared" si="0"/>
        <v>61</v>
      </c>
      <c r="C75" s="128" t="str">
        <f>+IFERROR(INDEX(Hoja1!$A$2:$A$82,MATCH(J75,Hoja1!$H$2:$H$82,0)),"")</f>
        <v>14.4</v>
      </c>
      <c r="D75" s="129" t="str">
        <f>IFERROR(VLOOKUP(C75,Hoja1!$A$2:$H$82,4,0),"")</f>
        <v>Info y Comunicación</v>
      </c>
      <c r="E75" s="129" t="str">
        <f>+IFERROR(VLOOKUP(C75,Hoja1!$A$1:$J$82,10,0),"")</f>
        <v>Comunicación Interna (Se comunica con el Comité Institucional de Coordinación de Control Interno o su equivalente; Facilita líneas de comunicación en todos los niveles; Selecciona el método de comunicación pertinente).</v>
      </c>
      <c r="F75" s="129" t="str">
        <f>+IFERROR(VLOOKUP(C75,Hoja1!$A$1:$I$82,3,0),"")</f>
        <v>La entidad establece e implementa políticas y procedimientos para facilitar una comunicación interna efectiva</v>
      </c>
      <c r="G75" s="128">
        <f>+IFERROR(VLOOKUP(C75,Hoja1!$A$1:$K$82,11,0),"")</f>
        <v>3</v>
      </c>
      <c r="H75" s="130">
        <f>+IFERROR(VLOOKUP(C75,Hoja1!$A$1:$L$82,12,0),"")</f>
        <v>3</v>
      </c>
      <c r="I75" s="121" t="str">
        <f t="shared" si="1"/>
        <v>Se encuentra presente y funciona correctamente, por lo tanto se requiere acciones o actividades  dirigidas a su mantenimiento dentro del marco de las lineas de defensa.</v>
      </c>
      <c r="J75" s="79">
        <v>61</v>
      </c>
      <c r="K75" s="119">
        <f>+VLOOKUP(C75,Hoja1!$A$1:$M$82,13,0)</f>
        <v>1</v>
      </c>
      <c r="L75" s="638"/>
      <c r="M75" s="76"/>
      <c r="N75" s="54"/>
      <c r="O75" s="54"/>
      <c r="P75" s="54"/>
      <c r="Q75" s="54"/>
      <c r="R75" s="54"/>
      <c r="S75" s="54"/>
    </row>
    <row r="76" spans="2:19" s="46" customFormat="1" ht="99.75" customHeight="1" x14ac:dyDescent="0.2">
      <c r="B76" s="127">
        <f t="shared" si="0"/>
        <v>62</v>
      </c>
      <c r="C76" s="128" t="str">
        <f>+IFERROR(INDEX(Hoja1!$A$2:$A$82,MATCH(J76,Hoja1!$H$2:$H$82,0)),"")</f>
        <v>15.1</v>
      </c>
      <c r="D76" s="129" t="str">
        <f>IFERROR(VLOOKUP(C76,Hoja1!$A$2:$H$82,4,0),"")</f>
        <v>Info y Comunicación</v>
      </c>
      <c r="E76" s="129" t="str">
        <f>+IFERROR(VLOOKUP(C76,Hoja1!$A$1:$J$82,10,0),"")</f>
        <v>Comunicación con el exterior (Se comunica con los grupos de valor y con terceros externos interesados; Facilita líneas de comunicación).</v>
      </c>
      <c r="F76" s="129" t="str">
        <f>+IFERROR(VLOOKUP(C76,Hoja1!$A$1:$I$82,3,0),"")</f>
        <v>La entidad desarrolla e implementa controles que facilitan la comunicación externa, la cual incluye  políticas y procedimientos. 
Incluye contratistas y proveedores de servicios tercerizados (cuando aplique).</v>
      </c>
      <c r="G76" s="128">
        <f>+IFERROR(VLOOKUP(C76,Hoja1!$A$1:$K$82,11,0),"")</f>
        <v>3</v>
      </c>
      <c r="H76" s="130">
        <f>+IFERROR(VLOOKUP(C76,Hoja1!$A$1:$L$82,12,0),"")</f>
        <v>3</v>
      </c>
      <c r="I76" s="121" t="str">
        <f t="shared" si="1"/>
        <v>Se encuentra presente y funciona correctamente, por lo tanto se requiere acciones o actividades  dirigidas a su mantenimiento dentro del marco de las lineas de defensa.</v>
      </c>
      <c r="J76" s="79">
        <v>62</v>
      </c>
      <c r="K76" s="119">
        <f>+VLOOKUP(C76,Hoja1!$A$1:$M$82,13,0)</f>
        <v>1</v>
      </c>
      <c r="L76" s="638"/>
      <c r="M76" s="76"/>
      <c r="N76" s="54"/>
      <c r="O76" s="54"/>
      <c r="P76" s="54"/>
      <c r="Q76" s="54"/>
      <c r="R76" s="54"/>
      <c r="S76" s="54"/>
    </row>
    <row r="77" spans="2:19" s="46" customFormat="1" ht="99.75" customHeight="1" x14ac:dyDescent="0.2">
      <c r="B77" s="127">
        <f t="shared" si="0"/>
        <v>63</v>
      </c>
      <c r="C77" s="128" t="str">
        <f>+IFERROR(INDEX(Hoja1!$A$2:$A$82,MATCH(J77,Hoja1!$H$2:$H$82,0)),"")</f>
        <v>15.2</v>
      </c>
      <c r="D77" s="129" t="str">
        <f>IFERROR(VLOOKUP(C77,Hoja1!$A$2:$H$82,4,0),"")</f>
        <v>Info y Comunicación</v>
      </c>
      <c r="E77" s="129" t="str">
        <f>+IFERROR(VLOOKUP(C77,Hoja1!$A$1:$J$82,10,0),"")</f>
        <v>Comunicación con el exterior (Se comunica con los grupos de valor y con terceros externos interesados; Facilita líneas de comunicación).</v>
      </c>
      <c r="F77" s="129" t="str">
        <f>+IFERROR(VLOOKUP(C77,Hoja1!$A$1:$I$82,3,0),"")</f>
        <v>La entidad cuenta con canales externos definidos de comunicación, asociados con el tipo de información a divulgar, y éstos son reconocidos a todo nivel de la organización.</v>
      </c>
      <c r="G77" s="128">
        <f>+IFERROR(VLOOKUP(C77,Hoja1!$A$1:$K$82,11,0),"")</f>
        <v>3</v>
      </c>
      <c r="H77" s="130">
        <f>+IFERROR(VLOOKUP(C77,Hoja1!$A$1:$L$82,12,0),"")</f>
        <v>3</v>
      </c>
      <c r="I77" s="121" t="str">
        <f t="shared" si="1"/>
        <v>Se encuentra presente y funciona correctamente, por lo tanto se requiere acciones o actividades  dirigidas a su mantenimiento dentro del marco de las lineas de defensa.</v>
      </c>
      <c r="J77" s="79">
        <v>63</v>
      </c>
      <c r="K77" s="119">
        <f>+VLOOKUP(C77,Hoja1!$A$1:$M$82,13,0)</f>
        <v>1</v>
      </c>
      <c r="L77" s="638"/>
      <c r="M77" s="76"/>
      <c r="N77" s="54"/>
      <c r="O77" s="54"/>
      <c r="P77" s="54"/>
      <c r="Q77" s="54"/>
      <c r="R77" s="54"/>
      <c r="S77" s="54"/>
    </row>
    <row r="78" spans="2:19" s="46" customFormat="1" ht="99.75" customHeight="1" x14ac:dyDescent="0.2">
      <c r="B78" s="131">
        <f t="shared" si="0"/>
        <v>64</v>
      </c>
      <c r="C78" s="128" t="str">
        <f>+IFERROR(INDEX(Hoja1!$A$2:$A$82,MATCH(J78,Hoja1!$H$2:$H$82,0)),"")</f>
        <v>15.3</v>
      </c>
      <c r="D78" s="129" t="str">
        <f>IFERROR(VLOOKUP(C78,Hoja1!$A$2:$H$82,4,0),"")</f>
        <v>Info y Comunicación</v>
      </c>
      <c r="E78" s="129" t="str">
        <f>+IFERROR(VLOOKUP(C78,Hoja1!$A$1:$J$82,10,0),"")</f>
        <v>Comunicación con el exterior (Se comunica con los grupos de valor y con terceros externos interesados; Facilita líneas de comunicación).</v>
      </c>
      <c r="F78" s="129" t="str">
        <f>+IFERROR(VLOOKUP(C78,Hoja1!$A$1:$I$82,3,0),"")</f>
        <v>La entidad cuenta con procesos o procedimiento para el manejo de la información entrante (quién la recibe, quién la clasifica, quién la analiza), y a la respuesta requierida (quién la canaliza y la responde)</v>
      </c>
      <c r="G78" s="128">
        <f>+IFERROR(VLOOKUP(C78,Hoja1!$A$1:$K$82,11,0),"")</f>
        <v>3</v>
      </c>
      <c r="H78" s="130">
        <f>+IFERROR(VLOOKUP(C78,Hoja1!$A$1:$L$82,12,0),"")</f>
        <v>3</v>
      </c>
      <c r="I78" s="121" t="str">
        <f t="shared" si="1"/>
        <v>Se encuentra presente y funciona correctamente, por lo tanto se requiere acciones o actividades  dirigidas a su mantenimiento dentro del marco de las lineas de defensa.</v>
      </c>
      <c r="J78" s="79">
        <v>64</v>
      </c>
      <c r="K78" s="119">
        <f>+VLOOKUP(C78,Hoja1!$A$1:$M$82,13,0)</f>
        <v>1</v>
      </c>
      <c r="L78" s="638"/>
      <c r="M78" s="76"/>
      <c r="N78" s="54"/>
      <c r="O78" s="54"/>
      <c r="P78" s="54"/>
      <c r="Q78" s="54"/>
      <c r="R78" s="54"/>
      <c r="S78" s="54"/>
    </row>
    <row r="79" spans="2:19" s="46" customFormat="1" ht="99.75" customHeight="1" x14ac:dyDescent="0.2">
      <c r="B79" s="127">
        <f t="shared" si="0"/>
        <v>65</v>
      </c>
      <c r="C79" s="128" t="str">
        <f>+IFERROR(INDEX(Hoja1!$A$2:$A$82,MATCH(J79,Hoja1!$H$2:$H$82,0)),"")</f>
        <v>15.4</v>
      </c>
      <c r="D79" s="129" t="str">
        <f>IFERROR(VLOOKUP(C79,Hoja1!$A$2:$H$82,4,0),"")</f>
        <v>Info y Comunicación</v>
      </c>
      <c r="E79" s="129" t="str">
        <f>+IFERROR(VLOOKUP(C79,Hoja1!$A$1:$J$82,10,0),"")</f>
        <v>Comunicación con el exterior (Se comunica con los grupos de valor y con terceros externos interesados; Facilita líneas de comunicación).</v>
      </c>
      <c r="F79" s="129" t="str">
        <f>+IFERROR(VLOOKUP(C79,Hoja1!$A$1:$I$82,3,0),"")</f>
        <v>La entidad cuenta con procesos o procedimientos encaminados a evaluar periodicamente la efectividad de los canales de comunicación con partes externas, así como sus contenidos, de tal forma que se puedan mejorar.</v>
      </c>
      <c r="G79" s="128">
        <f>+IFERROR(VLOOKUP(C79,Hoja1!$A$1:$K$82,11,0),"")</f>
        <v>3</v>
      </c>
      <c r="H79" s="130">
        <f>+IFERROR(VLOOKUP(C79,Hoja1!$A$1:$L$82,12,0),"")</f>
        <v>3</v>
      </c>
      <c r="I79" s="121" t="str">
        <f t="shared" si="1"/>
        <v>Se encuentra presente y funciona correctamente, por lo tanto se requiere acciones o actividades  dirigidas a su mantenimiento dentro del marco de las lineas de defensa.</v>
      </c>
      <c r="J79" s="79">
        <v>65</v>
      </c>
      <c r="K79" s="119">
        <f>+VLOOKUP(C79,Hoja1!$A$1:$M$82,13,0)</f>
        <v>1</v>
      </c>
      <c r="L79" s="638"/>
      <c r="M79" s="76"/>
      <c r="N79" s="54"/>
      <c r="O79" s="54"/>
      <c r="P79" s="54"/>
      <c r="Q79" s="54"/>
      <c r="R79" s="54"/>
      <c r="S79" s="54"/>
    </row>
    <row r="80" spans="2:19" s="46" customFormat="1" ht="99.75" customHeight="1" x14ac:dyDescent="0.2">
      <c r="B80" s="131">
        <f t="shared" ref="B80:B143" si="2">+IF(ISTEXT(D80),J80,"")</f>
        <v>66</v>
      </c>
      <c r="C80" s="128" t="str">
        <f>+IFERROR(INDEX(Hoja1!$A$2:$A$82,MATCH(J80,Hoja1!$H$2:$H$82,0)),"")</f>
        <v>15.5</v>
      </c>
      <c r="D80" s="129" t="str">
        <f>IFERROR(VLOOKUP(C80,Hoja1!$A$2:$H$82,4,0),"")</f>
        <v>Info y Comunicación</v>
      </c>
      <c r="E80" s="129" t="str">
        <f>+IFERROR(VLOOKUP(C80,Hoja1!$A$1:$J$82,10,0),"")</f>
        <v>Comunicación con el exterior (Se comunica con los grupos de valor y con terceros externos interesados; Facilita líneas de comunicación).</v>
      </c>
      <c r="F80" s="129" t="str">
        <f>+IFERROR(VLOOKUP(C80,Hoja1!$A$1:$I$82,3,0),"")</f>
        <v>La entidad analiza periodicamente su caracterización de usuarios o grupos de valor, a fin de actualizarla cuando sea pertinente</v>
      </c>
      <c r="G80" s="128">
        <f>+IFERROR(VLOOKUP(C80,Hoja1!$A$1:$K$82,11,0),"")</f>
        <v>3</v>
      </c>
      <c r="H80" s="130">
        <f>+IFERROR(VLOOKUP(C80,Hoja1!$A$1:$L$82,12,0),"")</f>
        <v>3</v>
      </c>
      <c r="I80" s="121" t="str">
        <f t="shared" ref="I80:I95" si="3">+IF(OR(AND(G80=1,H80=1),AND(G80=1,H80=2),AND(G80=1,H80=3),G80="",H80=""),"No se encuentra presente  por lo tanto no esta funcionando, lo que hace que se requieran acciones dirigidas a fortalecer su diseño y puesta en marcha",IF(OR(AND(G80=2,H80=2),AND(G80=3,H80=1),AND(G80=3,H80=2),AND(G80=2,H80=1)),"Se encuentra presente y funcionando, pero requiere acciones dirigidas a fortalecer  o mejorar su diseño y/o ejecucion.",IF(AND(G80=2,H80=3),"Se encuentra presente  y funcionando, pero requiere mejoras frente a su diseño, ya que  opera de manera efectiva","Se encuentra presente y funciona correctamente, por lo tanto se requiere acciones o actividades  dirigidas a su mantenimiento dentro del marco de las lineas de defensa.")))</f>
        <v>Se encuentra presente y funciona correctamente, por lo tanto se requiere acciones o actividades  dirigidas a su mantenimiento dentro del marco de las lineas de defensa.</v>
      </c>
      <c r="J80" s="79">
        <v>66</v>
      </c>
      <c r="K80" s="119">
        <f>+VLOOKUP(C80,Hoja1!$A$1:$M$82,13,0)</f>
        <v>1</v>
      </c>
      <c r="L80" s="638"/>
      <c r="M80" s="76"/>
      <c r="N80" s="54"/>
      <c r="O80" s="54"/>
      <c r="P80" s="54"/>
      <c r="Q80" s="54"/>
      <c r="R80" s="54"/>
      <c r="S80" s="54"/>
    </row>
    <row r="81" spans="2:19" s="46" customFormat="1" ht="99.75" customHeight="1" x14ac:dyDescent="0.2">
      <c r="B81" s="127">
        <f t="shared" si="2"/>
        <v>67</v>
      </c>
      <c r="C81" s="128" t="str">
        <f>+IFERROR(INDEX(Hoja1!$A$2:$A$82,MATCH(J81,Hoja1!$H$2:$H$82,0)),"")</f>
        <v>15.6</v>
      </c>
      <c r="D81" s="129" t="str">
        <f>IFERROR(VLOOKUP(C81,Hoja1!$A$2:$H$82,4,0),"")</f>
        <v>Info y Comunicación</v>
      </c>
      <c r="E81" s="129" t="str">
        <f>+IFERROR(VLOOKUP(C81,Hoja1!$A$1:$J$82,10,0),"")</f>
        <v>Comunicación con el exterior (Se comunica con los grupos de valor y con terceros externos interesados; Facilita líneas de comunicación).</v>
      </c>
      <c r="F81" s="129" t="str">
        <f>+IFERROR(VLOOKUP(C81,Hoja1!$A$1:$I$82,3,0),"")</f>
        <v>La entidad analiza periodicamente los resultados frente a la evaluación de percepción por parte de los usuarios o grupos de valor para la incorporación de las mejoras correspondientes</v>
      </c>
      <c r="G81" s="128">
        <f>+IFERROR(VLOOKUP(C81,Hoja1!$A$1:$K$82,11,0),"")</f>
        <v>3</v>
      </c>
      <c r="H81" s="130">
        <f>+IFERROR(VLOOKUP(C81,Hoja1!$A$1:$L$82,12,0),"")</f>
        <v>3</v>
      </c>
      <c r="I81" s="121" t="str">
        <f t="shared" si="3"/>
        <v>Se encuentra presente y funciona correctamente, por lo tanto se requiere acciones o actividades  dirigidas a su mantenimiento dentro del marco de las lineas de defensa.</v>
      </c>
      <c r="J81" s="79">
        <v>67</v>
      </c>
      <c r="K81" s="119">
        <f>+VLOOKUP(C81,Hoja1!$A$1:$M$82,13,0)</f>
        <v>1</v>
      </c>
      <c r="L81" s="638"/>
      <c r="M81" s="76"/>
      <c r="N81" s="54"/>
      <c r="O81" s="54"/>
      <c r="P81" s="54"/>
      <c r="Q81" s="54"/>
      <c r="R81" s="54"/>
      <c r="S81" s="54"/>
    </row>
    <row r="82" spans="2:19" s="46" customFormat="1" ht="99.75" customHeight="1" x14ac:dyDescent="0.2">
      <c r="B82" s="127">
        <f t="shared" si="2"/>
        <v>68</v>
      </c>
      <c r="C82" s="128" t="str">
        <f>+IFERROR(INDEX(Hoja1!$A$2:$A$82,MATCH(J82,Hoja1!$H$2:$H$82,0)),"")</f>
        <v xml:space="preserve">17.4 </v>
      </c>
      <c r="D82" s="129" t="str">
        <f>IFERROR(VLOOKUP(C82,Hoja1!$A$2:$H$82,4,0),"")</f>
        <v>Monitoreo - Supervisión</v>
      </c>
      <c r="E82" s="129" t="str">
        <f>+IFERROR(VLOOKUP(C82,Hoja1!$A$1:$J$82,10,0),"")</f>
        <v>Evaluación y comunicación de deficiencias oportunamente (Evalúa los resultados, Comunica las deficiencias y Monitorea las medidas correctivas).</v>
      </c>
      <c r="F82" s="129" t="str">
        <f>+IFERROR(VLOOKUP(C82,Hoja1!$A$1:$I$82,3,0),"")</f>
        <v>La Alta Dirección hace seguimiento a las acciones correctivas relacionadas con las deficiencias comunicadas sobre el Sistema de Control Interno y si se han cumplido en el tiempo establecido</v>
      </c>
      <c r="G82" s="128">
        <f>+IFERROR(VLOOKUP(C82,Hoja1!$A$1:$K$82,11,0),"")</f>
        <v>2</v>
      </c>
      <c r="H82" s="130">
        <f>+IFERROR(VLOOKUP(C82,Hoja1!$A$1:$L$82,12,0),"")</f>
        <v>3</v>
      </c>
      <c r="I82" s="121" t="str">
        <f t="shared" si="3"/>
        <v>Se encuentra presente  y funcionando, pero requiere mejoras frente a su diseño, ya que  opera de manera efectiva</v>
      </c>
      <c r="J82" s="79">
        <v>68</v>
      </c>
      <c r="K82" s="119">
        <f>+VLOOKUP(C82,Hoja1!$A$1:$M$82,13,0)</f>
        <v>0.75</v>
      </c>
      <c r="L82" s="638">
        <f>+AVERAGE(K82:K95)</f>
        <v>0.9821428571428571</v>
      </c>
      <c r="M82" s="76"/>
      <c r="N82" s="54"/>
      <c r="O82" s="54"/>
      <c r="P82" s="54"/>
      <c r="Q82" s="54"/>
      <c r="R82" s="54"/>
      <c r="S82" s="54"/>
    </row>
    <row r="83" spans="2:19" s="46" customFormat="1" ht="99.75" customHeight="1" x14ac:dyDescent="0.2">
      <c r="B83" s="127">
        <f t="shared" si="2"/>
        <v>69</v>
      </c>
      <c r="C83" s="128" t="str">
        <f>+IFERROR(INDEX(Hoja1!$A$2:$A$82,MATCH(J83,Hoja1!$H$2:$H$82,0)),"")</f>
        <v>16.1</v>
      </c>
      <c r="D83" s="129" t="str">
        <f>IFERROR(VLOOKUP(C83,Hoja1!$A$2:$H$82,4,0),"")</f>
        <v>Monitoreo - Supervisión</v>
      </c>
      <c r="E83" s="129" t="str">
        <f>+IFERROR(VLOOKUP(C83,Hoja1!$A$1:$J$82,10,0),"")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3" s="129" t="str">
        <f>+IFERROR(VLOOKUP(C83,Hoja1!$A$1:$I$82,3,0),"")</f>
        <v>El comité Institucional de Coordinación de Control Interno aprueba anualmente el Plan Anual de Auditoría presentado por parte del Jefe de Control Interno o quien haga sus veces y hace el correspondiente seguimiento a sus ejecución</v>
      </c>
      <c r="G83" s="128">
        <f>+IFERROR(VLOOKUP(C83,Hoja1!$A$1:$K$82,11,0),"")</f>
        <v>3</v>
      </c>
      <c r="H83" s="130">
        <f>+IFERROR(VLOOKUP(C83,Hoja1!$A$1:$L$82,12,0),"")</f>
        <v>3</v>
      </c>
      <c r="I83" s="121" t="str">
        <f t="shared" si="3"/>
        <v>Se encuentra presente y funciona correctamente, por lo tanto se requiere acciones o actividades  dirigidas a su mantenimiento dentro del marco de las lineas de defensa.</v>
      </c>
      <c r="J83" s="79">
        <v>69</v>
      </c>
      <c r="K83" s="119">
        <f>+VLOOKUP(C83,Hoja1!$A$1:$M$82,13,0)</f>
        <v>1</v>
      </c>
      <c r="L83" s="638"/>
      <c r="M83" s="76"/>
      <c r="N83" s="54"/>
      <c r="O83" s="54"/>
      <c r="P83" s="54"/>
      <c r="Q83" s="54"/>
      <c r="R83" s="54"/>
      <c r="S83" s="54"/>
    </row>
    <row r="84" spans="2:19" s="46" customFormat="1" ht="99.75" customHeight="1" x14ac:dyDescent="0.2">
      <c r="B84" s="131">
        <f t="shared" si="2"/>
        <v>70</v>
      </c>
      <c r="C84" s="128" t="str">
        <f>+IFERROR(INDEX(Hoja1!$A$2:$A$82,MATCH(J84,Hoja1!$H$2:$H$82,0)),"")</f>
        <v>16.2</v>
      </c>
      <c r="D84" s="129" t="str">
        <f>IFERROR(VLOOKUP(C84,Hoja1!$A$2:$H$82,4,0),"")</f>
        <v>Monitoreo - Supervisión</v>
      </c>
      <c r="E84" s="129" t="str">
        <f>+IFERROR(VLOOKUP(C84,Hoja1!$A$1:$J$82,10,0),"")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4" s="129" t="str">
        <f>+IFERROR(VLOOKUP(C84,Hoja1!$A$1:$I$82,3,0),"")</f>
        <v xml:space="preserve"> La Alta Dirección periódicamente evalúa los resultados de las evaluaciones (contínuas e independientes)  para concluir acerca de la efectividad del Sistema de Control Intern</v>
      </c>
      <c r="G84" s="128">
        <f>+IFERROR(VLOOKUP(C84,Hoja1!$A$1:$K$82,11,0),"")</f>
        <v>3</v>
      </c>
      <c r="H84" s="130">
        <f>+IFERROR(VLOOKUP(C84,Hoja1!$A$1:$L$82,12,0),"")</f>
        <v>3</v>
      </c>
      <c r="I84" s="121" t="str">
        <f t="shared" si="3"/>
        <v>Se encuentra presente y funciona correctamente, por lo tanto se requiere acciones o actividades  dirigidas a su mantenimiento dentro del marco de las lineas de defensa.</v>
      </c>
      <c r="J84" s="79">
        <v>70</v>
      </c>
      <c r="K84" s="119">
        <f>+VLOOKUP(C84,Hoja1!$A$1:$M$82,13,0)</f>
        <v>1</v>
      </c>
      <c r="L84" s="638"/>
      <c r="M84" s="76"/>
      <c r="N84" s="54"/>
      <c r="O84" s="54"/>
      <c r="P84" s="54"/>
      <c r="Q84" s="54"/>
      <c r="R84" s="54"/>
      <c r="S84" s="54"/>
    </row>
    <row r="85" spans="2:19" s="46" customFormat="1" ht="99.75" customHeight="1" x14ac:dyDescent="0.2">
      <c r="B85" s="127">
        <f t="shared" si="2"/>
        <v>71</v>
      </c>
      <c r="C85" s="128" t="str">
        <f>+IFERROR(INDEX(Hoja1!$A$2:$A$82,MATCH(J85,Hoja1!$H$2:$H$82,0)),"")</f>
        <v>16.3</v>
      </c>
      <c r="D85" s="129" t="str">
        <f>IFERROR(VLOOKUP(C85,Hoja1!$A$2:$H$82,4,0),"")</f>
        <v>Monitoreo - Supervisión</v>
      </c>
      <c r="E85" s="129" t="str">
        <f>+IFERROR(VLOOKUP(C85,Hoja1!$A$1:$J$82,10,0),"")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5" s="129" t="str">
        <f>+IFERROR(VLOOKUP(C85,Hoja1!$A$1:$I$82,3,0),"")</f>
        <v xml:space="preserve">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v>
      </c>
      <c r="G85" s="128">
        <f>+IFERROR(VLOOKUP(C85,Hoja1!$A$1:$K$82,11,0),"")</f>
        <v>3</v>
      </c>
      <c r="H85" s="130">
        <f>+IFERROR(VLOOKUP(C85,Hoja1!$A$1:$L$82,12,0),"")</f>
        <v>3</v>
      </c>
      <c r="I85" s="121" t="str">
        <f t="shared" si="3"/>
        <v>Se encuentra presente y funciona correctamente, por lo tanto se requiere acciones o actividades  dirigidas a su mantenimiento dentro del marco de las lineas de defensa.</v>
      </c>
      <c r="J85" s="79">
        <v>71</v>
      </c>
      <c r="K85" s="119">
        <f>+VLOOKUP(C85,Hoja1!$A$1:$M$82,13,0)</f>
        <v>1</v>
      </c>
      <c r="L85" s="638"/>
      <c r="M85" s="76"/>
      <c r="N85" s="54"/>
      <c r="O85" s="54"/>
      <c r="P85" s="54"/>
      <c r="Q85" s="54"/>
      <c r="R85" s="54"/>
      <c r="S85" s="54"/>
    </row>
    <row r="86" spans="2:19" s="46" customFormat="1" ht="99.75" customHeight="1" x14ac:dyDescent="0.2">
      <c r="B86" s="131">
        <f t="shared" si="2"/>
        <v>72</v>
      </c>
      <c r="C86" s="128" t="str">
        <f>+IFERROR(INDEX(Hoja1!$A$2:$A$82,MATCH(J86,Hoja1!$H$2:$H$82,0)),"")</f>
        <v>16.4</v>
      </c>
      <c r="D86" s="129" t="str">
        <f>IFERROR(VLOOKUP(C86,Hoja1!$A$2:$H$82,4,0),"")</f>
        <v>Monitoreo - Supervisión</v>
      </c>
      <c r="E86" s="129" t="str">
        <f>+IFERROR(VLOOKUP(C86,Hoja1!$A$1:$J$82,10,0),"")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6" s="129" t="str">
        <f>+IFERROR(VLOOKUP(C86,Hoja1!$A$1:$I$82,3,0),"")</f>
        <v>Acorde con el Esquema de Líneas de Defensa se han implementado procedimientos de monitoreo continuo como parte de las actividades de la 2a línea de defensa, a fin de contar con información clave para la toma de decisiones</v>
      </c>
      <c r="G86" s="128">
        <f>+IFERROR(VLOOKUP(C86,Hoja1!$A$1:$K$82,11,0),"")</f>
        <v>3</v>
      </c>
      <c r="H86" s="130">
        <f>+IFERROR(VLOOKUP(C86,Hoja1!$A$1:$L$82,12,0),"")</f>
        <v>3</v>
      </c>
      <c r="I86" s="121" t="str">
        <f t="shared" si="3"/>
        <v>Se encuentra presente y funciona correctamente, por lo tanto se requiere acciones o actividades  dirigidas a su mantenimiento dentro del marco de las lineas de defensa.</v>
      </c>
      <c r="J86" s="79">
        <v>72</v>
      </c>
      <c r="K86" s="119">
        <f>+VLOOKUP(C86,Hoja1!$A$1:$M$82,13,0)</f>
        <v>1</v>
      </c>
      <c r="L86" s="638"/>
      <c r="M86" s="76"/>
      <c r="N86" s="54"/>
      <c r="O86" s="54"/>
      <c r="P86" s="54"/>
      <c r="Q86" s="54"/>
      <c r="R86" s="54"/>
      <c r="S86" s="54"/>
    </row>
    <row r="87" spans="2:19" s="46" customFormat="1" ht="99.75" customHeight="1" x14ac:dyDescent="0.2">
      <c r="B87" s="127">
        <f t="shared" si="2"/>
        <v>73</v>
      </c>
      <c r="C87" s="128" t="str">
        <f>+IFERROR(INDEX(Hoja1!$A$2:$A$82,MATCH(J87,Hoja1!$H$2:$H$82,0)),"")</f>
        <v>16.5</v>
      </c>
      <c r="D87" s="129" t="str">
        <f>IFERROR(VLOOKUP(C87,Hoja1!$A$2:$H$82,4,0),"")</f>
        <v>Monitoreo - Supervisión</v>
      </c>
      <c r="E87" s="129" t="str">
        <f>+IFERROR(VLOOKUP(C87,Hoja1!$A$1:$J$82,10,0),"")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7" s="129" t="str">
        <f>+IFERROR(VLOOKUP(C87,Hoja1!$A$1:$I$82,3,0),"")</f>
        <v>Frente a las evaluaciones independientes la entidad considera evaluaciones externas de organismos de control, de vigilancia, certificadores, ONG´s u otros que permitan tener una mirada independiente de las operaciones</v>
      </c>
      <c r="G87" s="128">
        <f>+IFERROR(VLOOKUP(C87,Hoja1!$A$1:$K$82,11,0),"")</f>
        <v>3</v>
      </c>
      <c r="H87" s="130">
        <f>+IFERROR(VLOOKUP(C87,Hoja1!$A$1:$L$82,12,0),"")</f>
        <v>3</v>
      </c>
      <c r="I87" s="121" t="str">
        <f t="shared" si="3"/>
        <v>Se encuentra presente y funciona correctamente, por lo tanto se requiere acciones o actividades  dirigidas a su mantenimiento dentro del marco de las lineas de defensa.</v>
      </c>
      <c r="J87" s="79">
        <v>73</v>
      </c>
      <c r="K87" s="119">
        <f>+VLOOKUP(C87,Hoja1!$A$1:$M$82,13,0)</f>
        <v>1</v>
      </c>
      <c r="L87" s="638"/>
      <c r="M87" s="76"/>
      <c r="N87" s="54"/>
      <c r="O87" s="54"/>
      <c r="P87" s="54"/>
      <c r="Q87" s="54"/>
      <c r="R87" s="54"/>
      <c r="S87" s="54"/>
    </row>
    <row r="88" spans="2:19" s="46" customFormat="1" ht="99.75" customHeight="1" x14ac:dyDescent="0.2">
      <c r="B88" s="127">
        <f t="shared" si="2"/>
        <v>74</v>
      </c>
      <c r="C88" s="128" t="str">
        <f>+IFERROR(INDEX(Hoja1!$A$2:$A$82,MATCH(J88,Hoja1!$H$2:$H$82,0)),"")</f>
        <v xml:space="preserve">17.1 </v>
      </c>
      <c r="D88" s="129" t="str">
        <f>IFERROR(VLOOKUP(C88,Hoja1!$A$2:$H$82,4,0),"")</f>
        <v>Monitoreo - Supervisión</v>
      </c>
      <c r="E88" s="129" t="str">
        <f>+IFERROR(VLOOKUP(C88,Hoja1!$A$1:$J$82,10,0),"")</f>
        <v>Evaluación y comunicación de deficiencias oportunamente (Evalúa los resultados, Comunica las deficiencias y Monitorea las medidas correctivas).</v>
      </c>
      <c r="F88" s="129" t="str">
        <f>+IFERROR(VLOOKUP(C88,Hoja1!$A$1:$I$82,3,0),"")</f>
        <v>A partir de la información de las evaluaciones independientes, se evalúan para determinar su efecto en el Sistema de Control Interno de la entidad y su impacto en el logro de los objetivos, a fin de determinar cursos de acción para su mejora</v>
      </c>
      <c r="G88" s="128">
        <f>+IFERROR(VLOOKUP(C88,Hoja1!$A$1:$K$82,11,0),"")</f>
        <v>3</v>
      </c>
      <c r="H88" s="130">
        <f>+IFERROR(VLOOKUP(C88,Hoja1!$A$1:$L$82,12,0),"")</f>
        <v>3</v>
      </c>
      <c r="I88" s="121" t="str">
        <f t="shared" si="3"/>
        <v>Se encuentra presente y funciona correctamente, por lo tanto se requiere acciones o actividades  dirigidas a su mantenimiento dentro del marco de las lineas de defensa.</v>
      </c>
      <c r="J88" s="79">
        <v>74</v>
      </c>
      <c r="K88" s="119">
        <f>+VLOOKUP(C88,Hoja1!$A$1:$M$82,13,0)</f>
        <v>1</v>
      </c>
      <c r="L88" s="638"/>
      <c r="M88" s="76"/>
      <c r="N88" s="54"/>
      <c r="O88" s="54"/>
      <c r="P88" s="54"/>
      <c r="Q88" s="54"/>
      <c r="R88" s="54"/>
      <c r="S88" s="54"/>
    </row>
    <row r="89" spans="2:19" s="46" customFormat="1" ht="99.75" customHeight="1" x14ac:dyDescent="0.2">
      <c r="B89" s="127">
        <f t="shared" si="2"/>
        <v>75</v>
      </c>
      <c r="C89" s="128" t="str">
        <f>+IFERROR(INDEX(Hoja1!$A$2:$A$82,MATCH(J89,Hoja1!$H$2:$H$82,0)),"")</f>
        <v xml:space="preserve">17.2 </v>
      </c>
      <c r="D89" s="129" t="str">
        <f>IFERROR(VLOOKUP(C89,Hoja1!$A$2:$H$82,4,0),"")</f>
        <v>Monitoreo - Supervisión</v>
      </c>
      <c r="E89" s="129" t="str">
        <f>+IFERROR(VLOOKUP(C89,Hoja1!$A$1:$J$82,10,0),"")</f>
        <v>Evaluación y comunicación de deficiencias oportunamente (Evalúa los resultados, Comunica las deficiencias y Monitorea las medidas correctivas).</v>
      </c>
      <c r="F89" s="129" t="str">
        <f>+IFERROR(VLOOKUP(C89,Hoja1!$A$1:$I$82,3,0),"")</f>
        <v>Los informes recibidos de entes externos (organismos de control, auditores externos, entidades de vigilancia entre otros) se consolidan y se concluye sobre el impacto en el Sistema de Control Interno, a fin de determinar los cursos de acción</v>
      </c>
      <c r="G89" s="128">
        <f>+IFERROR(VLOOKUP(C89,Hoja1!$A$1:$K$82,11,0),"")</f>
        <v>3</v>
      </c>
      <c r="H89" s="130">
        <f>+IFERROR(VLOOKUP(C89,Hoja1!$A$1:$L$82,12,0),"")</f>
        <v>3</v>
      </c>
      <c r="I89" s="121" t="str">
        <f t="shared" si="3"/>
        <v>Se encuentra presente y funciona correctamente, por lo tanto se requiere acciones o actividades  dirigidas a su mantenimiento dentro del marco de las lineas de defensa.</v>
      </c>
      <c r="J89" s="79">
        <v>75</v>
      </c>
      <c r="K89" s="119">
        <f>+VLOOKUP(C89,Hoja1!$A$1:$M$82,13,0)</f>
        <v>1</v>
      </c>
      <c r="L89" s="638"/>
      <c r="M89" s="76"/>
      <c r="N89" s="54"/>
      <c r="O89" s="54"/>
      <c r="P89" s="54"/>
      <c r="Q89" s="54"/>
      <c r="R89" s="54"/>
      <c r="S89" s="54"/>
    </row>
    <row r="90" spans="2:19" s="46" customFormat="1" ht="99.75" customHeight="1" x14ac:dyDescent="0.2">
      <c r="B90" s="131">
        <f t="shared" si="2"/>
        <v>76</v>
      </c>
      <c r="C90" s="128" t="str">
        <f>+IFERROR(INDEX(Hoja1!$A$2:$A$82,MATCH(J90,Hoja1!$H$2:$H$82,0)),"")</f>
        <v xml:space="preserve">17.3 </v>
      </c>
      <c r="D90" s="129" t="str">
        <f>IFERROR(VLOOKUP(C90,Hoja1!$A$2:$H$82,4,0),"")</f>
        <v>Monitoreo - Supervisión</v>
      </c>
      <c r="E90" s="129" t="str">
        <f>+IFERROR(VLOOKUP(C90,Hoja1!$A$1:$J$82,10,0),"")</f>
        <v>Evaluación y comunicación de deficiencias oportunamente (Evalúa los resultados, Comunica las deficiencias y Monitorea las medidas correctivas).</v>
      </c>
      <c r="F90" s="129" t="str">
        <f>+IFERROR(VLOOKUP(C90,Hoja1!$A$1:$I$82,3,0),"")</f>
        <v>La entidad cuenta con políticas donde se establezca a quién reportar las deficiencias de control interno como resultado del monitoreo continuo</v>
      </c>
      <c r="G90" s="128">
        <f>+IFERROR(VLOOKUP(C90,Hoja1!$A$1:$K$82,11,0),"")</f>
        <v>3</v>
      </c>
      <c r="H90" s="130">
        <f>+IFERROR(VLOOKUP(C90,Hoja1!$A$1:$L$82,12,0),"")</f>
        <v>3</v>
      </c>
      <c r="I90" s="121" t="str">
        <f t="shared" si="3"/>
        <v>Se encuentra presente y funciona correctamente, por lo tanto se requiere acciones o actividades  dirigidas a su mantenimiento dentro del marco de las lineas de defensa.</v>
      </c>
      <c r="J90" s="79">
        <v>76</v>
      </c>
      <c r="K90" s="119">
        <f>+VLOOKUP(C90,Hoja1!$A$1:$M$82,13,0)</f>
        <v>1</v>
      </c>
      <c r="L90" s="638"/>
      <c r="M90" s="76"/>
      <c r="N90" s="54"/>
      <c r="O90" s="54"/>
      <c r="P90" s="54"/>
      <c r="Q90" s="54"/>
      <c r="R90" s="54"/>
      <c r="S90" s="54"/>
    </row>
    <row r="91" spans="2:19" s="46" customFormat="1" ht="99.75" customHeight="1" x14ac:dyDescent="0.2">
      <c r="B91" s="127">
        <f t="shared" si="2"/>
        <v>77</v>
      </c>
      <c r="C91" s="128" t="str">
        <f>+IFERROR(INDEX(Hoja1!$A$2:$A$82,MATCH(J91,Hoja1!$H$2:$H$82,0)),"")</f>
        <v xml:space="preserve">17.5 </v>
      </c>
      <c r="D91" s="129" t="str">
        <f>IFERROR(VLOOKUP(C91,Hoja1!$A$2:$H$82,4,0),"")</f>
        <v>Monitoreo - Supervisión</v>
      </c>
      <c r="E91" s="129" t="str">
        <f>+IFERROR(VLOOKUP(C91,Hoja1!$A$1:$J$82,10,0),"")</f>
        <v>Evaluación y comunicación de deficiencias oportunamente (Evalúa los resultados, Comunica las deficiencias y Monitorea las medidas correctivas).</v>
      </c>
      <c r="F91" s="129" t="str">
        <f>+IFERROR(VLOOKUP(C91,Hoja1!$A$1:$I$82,3,0),"")</f>
        <v>Los procesos y/o servicios tercerizados, son evaluados acorde con su nivel de riesgos</v>
      </c>
      <c r="G91" s="128">
        <f>+IFERROR(VLOOKUP(C91,Hoja1!$A$1:$K$82,11,0),"")</f>
        <v>3</v>
      </c>
      <c r="H91" s="130">
        <f>+IFERROR(VLOOKUP(C91,Hoja1!$A$1:$L$82,12,0),"")</f>
        <v>3</v>
      </c>
      <c r="I91" s="121" t="str">
        <f t="shared" si="3"/>
        <v>Se encuentra presente y funciona correctamente, por lo tanto se requiere acciones o actividades  dirigidas a su mantenimiento dentro del marco de las lineas de defensa.</v>
      </c>
      <c r="J91" s="79">
        <v>77</v>
      </c>
      <c r="K91" s="120">
        <f>+VLOOKUP(C91,Hoja1!$A$1:$M$82,13,0)</f>
        <v>1</v>
      </c>
      <c r="L91" s="638"/>
      <c r="M91" s="76"/>
      <c r="N91" s="54"/>
      <c r="O91" s="54"/>
      <c r="P91" s="54"/>
      <c r="Q91" s="54"/>
      <c r="R91" s="54"/>
      <c r="S91" s="54"/>
    </row>
    <row r="92" spans="2:19" s="46" customFormat="1" ht="99.75" customHeight="1" x14ac:dyDescent="0.2">
      <c r="B92" s="131">
        <f t="shared" si="2"/>
        <v>78</v>
      </c>
      <c r="C92" s="128" t="str">
        <f>+IFERROR(INDEX(Hoja1!$A$2:$A$82,MATCH(J92,Hoja1!$H$2:$H$82,0)),"")</f>
        <v xml:space="preserve">17.6 </v>
      </c>
      <c r="D92" s="129" t="str">
        <f>IFERROR(VLOOKUP(C92,Hoja1!$A$2:$H$82,4,0),"")</f>
        <v>Monitoreo - Supervisión</v>
      </c>
      <c r="E92" s="129" t="str">
        <f>+IFERROR(VLOOKUP(C92,Hoja1!$A$1:$J$82,10,0),"")</f>
        <v>Evaluación y comunicación de deficiencias oportunamente (Evalúa los resultados, Comunica las deficiencias y Monitorea las medidas correctivas).</v>
      </c>
      <c r="F92" s="129" t="str">
        <f>+IFERROR(VLOOKUP(C92,Hoja1!$A$1:$I$82,3,0),"")</f>
        <v>Se evalúa la información suministrada por los usuarios (Sistema PQRD), así como de otras partes interesadas para la mejora del  Sistema de Control Interno de la Entidad</v>
      </c>
      <c r="G92" s="128">
        <f>+IFERROR(VLOOKUP(C92,Hoja1!$A$1:$K$82,11,0),"")</f>
        <v>3</v>
      </c>
      <c r="H92" s="130">
        <f>+IFERROR(VLOOKUP(C92,Hoja1!$A$1:$L$82,12,0),"")</f>
        <v>3</v>
      </c>
      <c r="I92" s="121" t="str">
        <f t="shared" si="3"/>
        <v>Se encuentra presente y funciona correctamente, por lo tanto se requiere acciones o actividades  dirigidas a su mantenimiento dentro del marco de las lineas de defensa.</v>
      </c>
      <c r="J92" s="79">
        <v>78</v>
      </c>
      <c r="K92" s="120">
        <f>+VLOOKUP(C92,Hoja1!$A$1:$M$82,13,0)</f>
        <v>1</v>
      </c>
      <c r="L92" s="638"/>
      <c r="M92" s="76"/>
      <c r="N92" s="54"/>
      <c r="O92" s="54"/>
      <c r="P92" s="54"/>
      <c r="Q92" s="54"/>
      <c r="R92" s="54"/>
      <c r="S92" s="54"/>
    </row>
    <row r="93" spans="2:19" s="46" customFormat="1" ht="99.75" customHeight="1" x14ac:dyDescent="0.2">
      <c r="B93" s="127">
        <f t="shared" si="2"/>
        <v>79</v>
      </c>
      <c r="C93" s="128" t="str">
        <f>+IFERROR(INDEX(Hoja1!$A$2:$A$82,MATCH(J93,Hoja1!$H$2:$H$82,0)),"")</f>
        <v xml:space="preserve">17.7 </v>
      </c>
      <c r="D93" s="129" t="str">
        <f>IFERROR(VLOOKUP(C93,Hoja1!$A$2:$H$82,4,0),"")</f>
        <v>Monitoreo - Supervisión</v>
      </c>
      <c r="E93" s="129" t="str">
        <f>+IFERROR(VLOOKUP(C93,Hoja1!$A$1:$J$82,10,0),"")</f>
        <v>Evaluación y comunicación de deficiencias oportunamente (Evalúa los resultados, Comunica las deficiencias y Monitorea las medidas correctivas).</v>
      </c>
      <c r="F93" s="129" t="str">
        <f>+IFERROR(VLOOKUP(C93,Hoja1!$A$1:$I$82,3,0),"")</f>
        <v>Verificación del avance y cumplimiento de las acciones incluidas en los planes de mejoramiento producto de las autoevaluaciones. (2ª Línea).</v>
      </c>
      <c r="G93" s="128">
        <f>+IFERROR(VLOOKUP(C93,Hoja1!$A$1:$K$82,11,0),"")</f>
        <v>3</v>
      </c>
      <c r="H93" s="130">
        <f>+IFERROR(VLOOKUP(C93,Hoja1!$A$1:$L$82,12,0),"")</f>
        <v>3</v>
      </c>
      <c r="I93" s="121" t="str">
        <f t="shared" si="3"/>
        <v>Se encuentra presente y funciona correctamente, por lo tanto se requiere acciones o actividades  dirigidas a su mantenimiento dentro del marco de las lineas de defensa.</v>
      </c>
      <c r="J93" s="79">
        <v>79</v>
      </c>
      <c r="K93" s="120">
        <f>+VLOOKUP(C93,Hoja1!$A$1:$M$82,13,0)</f>
        <v>1</v>
      </c>
      <c r="L93" s="638"/>
      <c r="M93" s="76"/>
      <c r="N93" s="54"/>
      <c r="O93" s="54"/>
      <c r="P93" s="54"/>
      <c r="Q93" s="54"/>
      <c r="R93" s="54"/>
      <c r="S93" s="54"/>
    </row>
    <row r="94" spans="2:19" s="46" customFormat="1" ht="99.75" customHeight="1" x14ac:dyDescent="0.2">
      <c r="B94" s="127">
        <f t="shared" si="2"/>
        <v>80</v>
      </c>
      <c r="C94" s="128" t="str">
        <f>+IFERROR(INDEX(Hoja1!$A$2:$A$82,MATCH(J94,Hoja1!$H$2:$H$82,0)),"")</f>
        <v xml:space="preserve">17.8 </v>
      </c>
      <c r="D94" s="129" t="str">
        <f>IFERROR(VLOOKUP(C94,Hoja1!$A$2:$H$82,4,0),"")</f>
        <v>Monitoreo - Supervisión</v>
      </c>
      <c r="E94" s="129" t="str">
        <f>+IFERROR(VLOOKUP(C94,Hoja1!$A$1:$J$82,10,0),"")</f>
        <v>Evaluación y comunicación de deficiencias oportunamente (Evalúa los resultados, Comunica las deficiencias y Monitorea las medidas correctivas).</v>
      </c>
      <c r="F94" s="129" t="str">
        <f>+IFERROR(VLOOKUP(C94,Hoja1!$A$1:$I$82,3,0),"")</f>
        <v>Evaluación de la efectividad de las acciones incluidas en los Planes de mejoramiento producto de las auditorías internas y de entes externos. (3ª Línea</v>
      </c>
      <c r="G94" s="128">
        <f>+IFERROR(VLOOKUP(C94,Hoja1!$A$1:$K$82,11,0),"")</f>
        <v>3</v>
      </c>
      <c r="H94" s="130">
        <f>+IFERROR(VLOOKUP(C94,Hoja1!$A$1:$L$82,12,0),"")</f>
        <v>3</v>
      </c>
      <c r="I94" s="121" t="str">
        <f t="shared" si="3"/>
        <v>Se encuentra presente y funciona correctamente, por lo tanto se requiere acciones o actividades  dirigidas a su mantenimiento dentro del marco de las lineas de defensa.</v>
      </c>
      <c r="J94" s="79">
        <v>80</v>
      </c>
      <c r="K94" s="120">
        <f>+VLOOKUP(C94,Hoja1!$A$1:$M$82,13,0)</f>
        <v>1</v>
      </c>
      <c r="L94" s="638"/>
      <c r="M94" s="76"/>
      <c r="N94" s="54"/>
      <c r="O94" s="54"/>
      <c r="P94" s="54"/>
      <c r="Q94" s="54"/>
      <c r="R94" s="54"/>
      <c r="S94" s="54"/>
    </row>
    <row r="95" spans="2:19" s="46" customFormat="1" ht="99.75" customHeight="1" x14ac:dyDescent="0.2">
      <c r="B95" s="127">
        <f t="shared" si="2"/>
        <v>81</v>
      </c>
      <c r="C95" s="128" t="str">
        <f>+IFERROR(INDEX(Hoja1!$A$2:$A$82,MATCH(J95,Hoja1!$H$2:$H$82,0)),"")</f>
        <v xml:space="preserve">17.9 </v>
      </c>
      <c r="D95" s="129" t="str">
        <f>IFERROR(VLOOKUP(C95,Hoja1!$A$2:$H$82,4,0),"")</f>
        <v>Monitoreo - Supervisión</v>
      </c>
      <c r="E95" s="129" t="str">
        <f>+IFERROR(VLOOKUP(C95,Hoja1!$A$1:$J$82,10,0),"")</f>
        <v>Evaluación y comunicación de deficiencias oportunamente (Evalúa los resultados, Comunica las deficiencias y Monitorea las medidas correctivas).</v>
      </c>
      <c r="F95" s="129" t="str">
        <f>+IFERROR(VLOOKUP(C95,Hoja1!$A$1:$I$82,3,0),"")</f>
        <v>Las deficiencias de control interno son reportadas a los responsables de nivel jerárquico superior, para tomar la acciones correspondientes</v>
      </c>
      <c r="G95" s="128">
        <f>+IFERROR(VLOOKUP(C95,Hoja1!$A$1:$K$82,11,0),"")</f>
        <v>3</v>
      </c>
      <c r="H95" s="130">
        <f>+IFERROR(VLOOKUP(C95,Hoja1!$A$1:$L$82,12,0),"")</f>
        <v>3</v>
      </c>
      <c r="I95" s="121" t="str">
        <f t="shared" si="3"/>
        <v>Se encuentra presente y funciona correctamente, por lo tanto se requiere acciones o actividades  dirigidas a su mantenimiento dentro del marco de las lineas de defensa.</v>
      </c>
      <c r="J95" s="79">
        <v>81</v>
      </c>
      <c r="K95" s="120">
        <f>+VLOOKUP(C95,Hoja1!$A$1:$M$82,13,0)</f>
        <v>1</v>
      </c>
      <c r="L95" s="639"/>
      <c r="M95" s="76"/>
      <c r="N95" s="54"/>
      <c r="O95" s="54"/>
      <c r="P95" s="54"/>
      <c r="Q95" s="54"/>
      <c r="R95" s="54"/>
      <c r="S95" s="54"/>
    </row>
    <row r="96" spans="2:19" s="46" customFormat="1" ht="99.75" customHeight="1" x14ac:dyDescent="0.2">
      <c r="B96" s="131">
        <f t="shared" si="2"/>
        <v>82</v>
      </c>
      <c r="C96" s="128" t="str">
        <f>+IFERROR(INDEX(Hoja1!$A$2:$A$82,MATCH(J96,Hoja1!$H$2:$H$82,0)),"")</f>
        <v/>
      </c>
      <c r="D96" s="129" t="str">
        <f>IFERROR(VLOOKUP(C96,Hoja1!$A$2:$H$82,4,0),"")</f>
        <v/>
      </c>
      <c r="E96" s="129" t="str">
        <f>+IFERROR(VLOOKUP(C96,Hoja1!$A$1:$J$82,10,0),"")</f>
        <v/>
      </c>
      <c r="F96" s="129" t="str">
        <f>+IFERROR(VLOOKUP(C96,Hoja1!$A$1:$I$82,3,0),"")</f>
        <v/>
      </c>
      <c r="G96" s="128" t="str">
        <f>+IFERROR(VLOOKUP(C96,Hoja1!$A$1:$K$82,11,0),"")</f>
        <v/>
      </c>
      <c r="H96" s="130" t="str">
        <f>+IFERROR(VLOOKUP(C96,Hoja1!$A$1:$L$82,12,0),"")</f>
        <v/>
      </c>
      <c r="I96" s="50"/>
      <c r="J96" s="79">
        <v>82</v>
      </c>
      <c r="K96" s="78"/>
      <c r="L96" s="214">
        <f>AVERAGE(L15:L95)</f>
        <v>0.98184523809523816</v>
      </c>
      <c r="M96" s="76"/>
      <c r="N96" s="54"/>
      <c r="O96" s="54"/>
      <c r="P96" s="54"/>
      <c r="Q96" s="54"/>
      <c r="R96" s="54"/>
      <c r="S96" s="54"/>
    </row>
    <row r="97" spans="2:19" s="46" customFormat="1" ht="99.75" customHeight="1" x14ac:dyDescent="0.2">
      <c r="B97" s="127">
        <f t="shared" si="2"/>
        <v>83</v>
      </c>
      <c r="C97" s="128" t="str">
        <f>+IFERROR(INDEX(Hoja1!$A$2:$A$82,MATCH(J97,Hoja1!$H$2:$H$82,0)),"")</f>
        <v/>
      </c>
      <c r="D97" s="129" t="str">
        <f>IFERROR(VLOOKUP(C97,Hoja1!$A$2:$H$82,4,0),"")</f>
        <v/>
      </c>
      <c r="E97" s="129" t="str">
        <f>+IFERROR(VLOOKUP(C97,Hoja1!$A$1:$J$82,10,0),"")</f>
        <v/>
      </c>
      <c r="F97" s="129" t="str">
        <f>+IFERROR(VLOOKUP(C97,Hoja1!$A$1:$I$82,3,0),"")</f>
        <v/>
      </c>
      <c r="G97" s="128" t="str">
        <f>+IFERROR(VLOOKUP(C97,Hoja1!$A$1:$K$82,11,0),"")</f>
        <v/>
      </c>
      <c r="H97" s="130" t="str">
        <f>+IFERROR(VLOOKUP(C97,Hoja1!$A$1:$L$82,12,0),"")</f>
        <v/>
      </c>
      <c r="I97" s="50"/>
      <c r="J97" s="79">
        <v>83</v>
      </c>
      <c r="K97" s="82"/>
      <c r="M97" s="76"/>
      <c r="N97" s="54"/>
      <c r="O97" s="54"/>
      <c r="P97" s="54"/>
      <c r="Q97" s="54"/>
      <c r="R97" s="54"/>
      <c r="S97" s="54"/>
    </row>
    <row r="98" spans="2:19" s="46" customFormat="1" ht="99.75" customHeight="1" x14ac:dyDescent="0.2">
      <c r="B98" s="131">
        <f t="shared" si="2"/>
        <v>84</v>
      </c>
      <c r="C98" s="128" t="str">
        <f>+IFERROR(INDEX(Hoja1!$A$2:$A$82,MATCH(J98,Hoja1!$H$2:$H$82,0)),"")</f>
        <v/>
      </c>
      <c r="D98" s="129" t="str">
        <f>IFERROR(VLOOKUP(C98,Hoja1!$A$2:$H$82,4,0),"")</f>
        <v/>
      </c>
      <c r="E98" s="129" t="str">
        <f>+IFERROR(VLOOKUP(C98,Hoja1!$A$1:$J$82,10,0),"")</f>
        <v/>
      </c>
      <c r="F98" s="129" t="str">
        <f>+IFERROR(VLOOKUP(C98,Hoja1!$A$1:$I$82,3,0),"")</f>
        <v/>
      </c>
      <c r="G98" s="128" t="str">
        <f>+IFERROR(VLOOKUP(C98,Hoja1!$A$1:$K$82,11,0),"")</f>
        <v/>
      </c>
      <c r="H98" s="130" t="str">
        <f>+IFERROR(VLOOKUP(C98,Hoja1!$A$1:$L$82,12,0),"")</f>
        <v/>
      </c>
      <c r="I98" s="50"/>
      <c r="J98" s="79">
        <v>84</v>
      </c>
      <c r="K98" s="78"/>
      <c r="M98" s="76"/>
      <c r="N98" s="54"/>
      <c r="O98" s="54"/>
      <c r="P98" s="54"/>
      <c r="Q98" s="54"/>
      <c r="R98" s="54"/>
      <c r="S98" s="54"/>
    </row>
    <row r="99" spans="2:19" s="46" customFormat="1" ht="99.75" customHeight="1" x14ac:dyDescent="0.2">
      <c r="B99" s="127">
        <f t="shared" si="2"/>
        <v>85</v>
      </c>
      <c r="C99" s="128" t="str">
        <f>+IFERROR(INDEX(Hoja1!$A$2:$A$82,MATCH(J99,Hoja1!$H$2:$H$82,0)),"")</f>
        <v/>
      </c>
      <c r="D99" s="129" t="str">
        <f>IFERROR(VLOOKUP(C99,Hoja1!$A$2:$H$82,4,0),"")</f>
        <v/>
      </c>
      <c r="E99" s="129" t="str">
        <f>+IFERROR(VLOOKUP(C99,Hoja1!$A$1:$J$82,10,0),"")</f>
        <v/>
      </c>
      <c r="F99" s="129" t="str">
        <f>+IFERROR(VLOOKUP(C99,Hoja1!$A$1:$I$82,3,0),"")</f>
        <v/>
      </c>
      <c r="G99" s="128" t="str">
        <f>+IFERROR(VLOOKUP(C99,Hoja1!$A$1:$K$82,11,0),"")</f>
        <v/>
      </c>
      <c r="H99" s="130" t="str">
        <f>+IFERROR(VLOOKUP(C99,Hoja1!$A$1:$L$82,12,0),"")</f>
        <v/>
      </c>
      <c r="I99" s="50"/>
      <c r="J99" s="79">
        <v>85</v>
      </c>
      <c r="K99" s="78"/>
      <c r="M99" s="76"/>
      <c r="N99" s="54"/>
      <c r="O99" s="54"/>
      <c r="P99" s="54"/>
      <c r="Q99" s="54"/>
      <c r="R99" s="54"/>
      <c r="S99" s="54"/>
    </row>
    <row r="100" spans="2:19" s="46" customFormat="1" ht="99.75" customHeight="1" x14ac:dyDescent="0.2">
      <c r="B100" s="127">
        <f t="shared" si="2"/>
        <v>86</v>
      </c>
      <c r="C100" s="128" t="str">
        <f>+IFERROR(INDEX(Hoja1!$A$2:$A$82,MATCH(J100,Hoja1!$H$2:$H$82,0)),"")</f>
        <v/>
      </c>
      <c r="D100" s="129" t="str">
        <f>IFERROR(VLOOKUP(C100,Hoja1!$A$2:$H$82,4,0),"")</f>
        <v/>
      </c>
      <c r="E100" s="129" t="str">
        <f>+IFERROR(VLOOKUP(C100,Hoja1!$A$1:$J$82,10,0),"")</f>
        <v/>
      </c>
      <c r="F100" s="129" t="str">
        <f>+IFERROR(VLOOKUP(C100,Hoja1!$A$1:$I$82,3,0),"")</f>
        <v/>
      </c>
      <c r="G100" s="128" t="str">
        <f>+IFERROR(VLOOKUP(C100,Hoja1!$A$1:$K$82,11,0),"")</f>
        <v/>
      </c>
      <c r="H100" s="130" t="str">
        <f>+IFERROR(VLOOKUP(C100,Hoja1!$A$1:$L$82,12,0),"")</f>
        <v/>
      </c>
      <c r="I100" s="50"/>
      <c r="J100" s="79">
        <v>86</v>
      </c>
      <c r="K100" s="78"/>
      <c r="M100" s="76"/>
      <c r="N100" s="54"/>
      <c r="O100" s="54"/>
      <c r="P100" s="54"/>
      <c r="Q100" s="54"/>
      <c r="R100" s="54"/>
      <c r="S100" s="54"/>
    </row>
    <row r="101" spans="2:19" s="46" customFormat="1" ht="99.75" customHeight="1" x14ac:dyDescent="0.2">
      <c r="B101" s="127">
        <f t="shared" si="2"/>
        <v>87</v>
      </c>
      <c r="C101" s="128" t="str">
        <f>+IFERROR(INDEX(Hoja1!$A$2:$A$82,MATCH(J101,Hoja1!$H$2:$H$82,0)),"")</f>
        <v/>
      </c>
      <c r="D101" s="129" t="str">
        <f>IFERROR(VLOOKUP(C101,Hoja1!$A$2:$H$82,4,0),"")</f>
        <v/>
      </c>
      <c r="E101" s="129" t="str">
        <f>+IFERROR(VLOOKUP(C101,Hoja1!$A$1:$J$82,10,0),"")</f>
        <v/>
      </c>
      <c r="F101" s="129" t="str">
        <f>+IFERROR(VLOOKUP(C101,Hoja1!$A$1:$I$82,3,0),"")</f>
        <v/>
      </c>
      <c r="G101" s="128" t="str">
        <f>+IFERROR(VLOOKUP(C101,Hoja1!$A$1:$K$82,11,0),"")</f>
        <v/>
      </c>
      <c r="H101" s="130" t="str">
        <f>+IFERROR(VLOOKUP(C101,Hoja1!$A$1:$L$82,12,0),"")</f>
        <v/>
      </c>
      <c r="I101" s="50"/>
      <c r="J101" s="79">
        <v>87</v>
      </c>
      <c r="K101" s="78"/>
      <c r="M101" s="76"/>
      <c r="N101" s="54"/>
      <c r="O101" s="54"/>
      <c r="P101" s="54"/>
      <c r="Q101" s="54"/>
      <c r="R101" s="54"/>
      <c r="S101" s="54"/>
    </row>
    <row r="102" spans="2:19" s="46" customFormat="1" ht="99.75" customHeight="1" x14ac:dyDescent="0.2">
      <c r="B102" s="131">
        <f t="shared" si="2"/>
        <v>88</v>
      </c>
      <c r="C102" s="128" t="str">
        <f>+IFERROR(INDEX(Hoja1!$A$2:$A$82,MATCH(J102,Hoja1!$H$2:$H$82,0)),"")</f>
        <v/>
      </c>
      <c r="D102" s="129" t="str">
        <f>IFERROR(VLOOKUP(C102,Hoja1!$A$2:$H$82,4,0),"")</f>
        <v/>
      </c>
      <c r="E102" s="129" t="str">
        <f>+IFERROR(VLOOKUP(C102,Hoja1!$A$1:$J$82,10,0),"")</f>
        <v/>
      </c>
      <c r="F102" s="129" t="str">
        <f>+IFERROR(VLOOKUP(C102,Hoja1!$A$1:$I$82,3,0),"")</f>
        <v/>
      </c>
      <c r="G102" s="128" t="str">
        <f>+IFERROR(VLOOKUP(C102,Hoja1!$A$1:$K$82,11,0),"")</f>
        <v/>
      </c>
      <c r="H102" s="130" t="str">
        <f>+IFERROR(VLOOKUP(C102,Hoja1!$A$1:$L$82,12,0),"")</f>
        <v/>
      </c>
      <c r="I102" s="50"/>
      <c r="J102" s="79">
        <v>88</v>
      </c>
      <c r="K102" s="78"/>
      <c r="M102" s="76"/>
      <c r="N102" s="54"/>
      <c r="O102" s="54"/>
      <c r="P102" s="54"/>
      <c r="Q102" s="54"/>
      <c r="R102" s="54"/>
      <c r="S102" s="54"/>
    </row>
    <row r="103" spans="2:19" s="46" customFormat="1" ht="99.75" customHeight="1" x14ac:dyDescent="0.2">
      <c r="B103" s="127">
        <f t="shared" si="2"/>
        <v>89</v>
      </c>
      <c r="C103" s="128" t="str">
        <f>+IFERROR(INDEX(Hoja1!$A$2:$A$82,MATCH(J103,Hoja1!$H$2:$H$82,0)),"")</f>
        <v/>
      </c>
      <c r="D103" s="129" t="str">
        <f>IFERROR(VLOOKUP(C103,Hoja1!$A$2:$H$82,4,0),"")</f>
        <v/>
      </c>
      <c r="E103" s="129" t="str">
        <f>+IFERROR(VLOOKUP(C103,Hoja1!$A$1:$J$82,10,0),"")</f>
        <v/>
      </c>
      <c r="F103" s="129" t="str">
        <f>+IFERROR(VLOOKUP(C103,Hoja1!$A$1:$I$82,3,0),"")</f>
        <v/>
      </c>
      <c r="G103" s="128" t="str">
        <f>+IFERROR(VLOOKUP(C103,Hoja1!$A$1:$K$82,11,0),"")</f>
        <v/>
      </c>
      <c r="H103" s="130" t="str">
        <f>+IFERROR(VLOOKUP(C103,Hoja1!$A$1:$L$82,12,0),"")</f>
        <v/>
      </c>
      <c r="I103" s="50"/>
      <c r="J103" s="79">
        <v>89</v>
      </c>
      <c r="K103" s="78"/>
      <c r="M103" s="76"/>
      <c r="N103" s="54"/>
      <c r="O103" s="54"/>
      <c r="P103" s="54"/>
      <c r="Q103" s="54"/>
      <c r="R103" s="54"/>
      <c r="S103" s="54"/>
    </row>
    <row r="104" spans="2:19" s="46" customFormat="1" ht="99.75" customHeight="1" x14ac:dyDescent="0.2">
      <c r="B104" s="131">
        <f t="shared" si="2"/>
        <v>90</v>
      </c>
      <c r="C104" s="128" t="str">
        <f>+IFERROR(INDEX(Hoja1!$A$2:$A$82,MATCH(J104,Hoja1!$H$2:$H$82,0)),"")</f>
        <v/>
      </c>
      <c r="D104" s="129" t="str">
        <f>IFERROR(VLOOKUP(C104,Hoja1!$A$2:$H$82,4,0),"")</f>
        <v/>
      </c>
      <c r="E104" s="129" t="str">
        <f>+IFERROR(VLOOKUP(C104,Hoja1!$A$1:$J$82,10,0),"")</f>
        <v/>
      </c>
      <c r="F104" s="129" t="str">
        <f>+IFERROR(VLOOKUP(C104,Hoja1!$A$1:$I$82,3,0),"")</f>
        <v/>
      </c>
      <c r="G104" s="128" t="str">
        <f>+IFERROR(VLOOKUP(C104,Hoja1!$A$1:$K$82,11,0),"")</f>
        <v/>
      </c>
      <c r="H104" s="130" t="str">
        <f>+IFERROR(VLOOKUP(C104,Hoja1!$A$1:$L$82,12,0),"")</f>
        <v/>
      </c>
      <c r="I104" s="50"/>
      <c r="J104" s="79">
        <v>90</v>
      </c>
      <c r="K104" s="78"/>
      <c r="M104" s="76"/>
      <c r="N104" s="54"/>
      <c r="O104" s="54"/>
      <c r="P104" s="54"/>
      <c r="Q104" s="54"/>
      <c r="R104" s="54"/>
      <c r="S104" s="54"/>
    </row>
    <row r="105" spans="2:19" s="46" customFormat="1" ht="99.75" customHeight="1" x14ac:dyDescent="0.2">
      <c r="B105" s="127">
        <f t="shared" si="2"/>
        <v>91</v>
      </c>
      <c r="C105" s="128" t="str">
        <f>+IFERROR(INDEX(Hoja1!$A$2:$A$82,MATCH(J105,Hoja1!$H$2:$H$82,0)),"")</f>
        <v/>
      </c>
      <c r="D105" s="129" t="str">
        <f>IFERROR(VLOOKUP(C105,Hoja1!$A$2:$H$82,4,0),"")</f>
        <v/>
      </c>
      <c r="E105" s="129" t="str">
        <f>+IFERROR(VLOOKUP(C105,Hoja1!$A$1:$J$82,10,0),"")</f>
        <v/>
      </c>
      <c r="F105" s="129" t="str">
        <f>+IFERROR(VLOOKUP(C105,Hoja1!$A$1:$I$82,3,0),"")</f>
        <v/>
      </c>
      <c r="G105" s="128" t="str">
        <f>+IFERROR(VLOOKUP(C105,Hoja1!$A$1:$K$82,11,0),"")</f>
        <v/>
      </c>
      <c r="H105" s="130" t="str">
        <f>+IFERROR(VLOOKUP(C105,Hoja1!$A$1:$L$82,12,0),"")</f>
        <v/>
      </c>
      <c r="I105" s="50"/>
      <c r="J105" s="79">
        <v>91</v>
      </c>
      <c r="K105" s="78"/>
      <c r="M105" s="76"/>
      <c r="N105" s="54"/>
      <c r="O105" s="54"/>
      <c r="P105" s="54"/>
      <c r="Q105" s="54"/>
      <c r="R105" s="54"/>
      <c r="S105" s="54"/>
    </row>
    <row r="106" spans="2:19" s="46" customFormat="1" ht="99.75" customHeight="1" x14ac:dyDescent="0.2">
      <c r="B106" s="127">
        <f t="shared" si="2"/>
        <v>92</v>
      </c>
      <c r="C106" s="128" t="str">
        <f>+IFERROR(INDEX(Hoja1!$A$2:$A$82,MATCH(J106,Hoja1!$H$2:$H$82,0)),"")</f>
        <v/>
      </c>
      <c r="D106" s="129" t="str">
        <f>IFERROR(VLOOKUP(C106,Hoja1!$A$2:$H$82,4,0),"")</f>
        <v/>
      </c>
      <c r="E106" s="129" t="str">
        <f>+IFERROR(VLOOKUP(C106,Hoja1!$A$1:$J$82,10,0),"")</f>
        <v/>
      </c>
      <c r="F106" s="129" t="str">
        <f>+IFERROR(VLOOKUP(C106,Hoja1!$A$1:$I$82,3,0),"")</f>
        <v/>
      </c>
      <c r="G106" s="128" t="str">
        <f>+IFERROR(VLOOKUP(C106,Hoja1!$A$1:$K$82,11,0),"")</f>
        <v/>
      </c>
      <c r="H106" s="130" t="str">
        <f>+IFERROR(VLOOKUP(C106,Hoja1!$A$1:$L$82,12,0),"")</f>
        <v/>
      </c>
      <c r="I106" s="50"/>
      <c r="J106" s="79">
        <v>92</v>
      </c>
      <c r="K106" s="78"/>
      <c r="M106" s="76"/>
      <c r="N106" s="54"/>
      <c r="O106" s="54"/>
      <c r="P106" s="54"/>
      <c r="Q106" s="54"/>
      <c r="R106" s="54"/>
      <c r="S106" s="54"/>
    </row>
    <row r="107" spans="2:19" s="46" customFormat="1" ht="99.75" customHeight="1" x14ac:dyDescent="0.2">
      <c r="B107" s="127">
        <f t="shared" si="2"/>
        <v>93</v>
      </c>
      <c r="C107" s="128" t="str">
        <f>+IFERROR(INDEX(Hoja1!$A$2:$A$82,MATCH(J107,Hoja1!$H$2:$H$82,0)),"")</f>
        <v/>
      </c>
      <c r="D107" s="129" t="str">
        <f>IFERROR(VLOOKUP(C107,Hoja1!$A$2:$H$82,4,0),"")</f>
        <v/>
      </c>
      <c r="E107" s="129" t="str">
        <f>+IFERROR(VLOOKUP(C107,Hoja1!$A$1:$J$82,10,0),"")</f>
        <v/>
      </c>
      <c r="F107" s="129" t="str">
        <f>+IFERROR(VLOOKUP(C107,Hoja1!$A$1:$I$82,3,0),"")</f>
        <v/>
      </c>
      <c r="G107" s="128" t="str">
        <f>+IFERROR(VLOOKUP(C107,Hoja1!$A$1:$K$82,11,0),"")</f>
        <v/>
      </c>
      <c r="H107" s="130" t="str">
        <f>+IFERROR(VLOOKUP(C107,Hoja1!$A$1:$L$82,12,0),"")</f>
        <v/>
      </c>
      <c r="I107" s="50"/>
      <c r="J107" s="79">
        <v>93</v>
      </c>
      <c r="K107" s="78"/>
      <c r="M107" s="76"/>
      <c r="N107" s="54"/>
      <c r="O107" s="54"/>
      <c r="P107" s="54"/>
      <c r="Q107" s="54"/>
      <c r="R107" s="54"/>
      <c r="S107" s="54"/>
    </row>
    <row r="108" spans="2:19" s="46" customFormat="1" ht="99.75" customHeight="1" x14ac:dyDescent="0.2">
      <c r="B108" s="131">
        <f t="shared" si="2"/>
        <v>94</v>
      </c>
      <c r="C108" s="128" t="str">
        <f>+IFERROR(INDEX(Hoja1!$A$2:$A$82,MATCH(J108,Hoja1!$H$2:$H$82,0)),"")</f>
        <v/>
      </c>
      <c r="D108" s="129" t="str">
        <f>IFERROR(VLOOKUP(C108,Hoja1!$A$2:$H$82,4,0),"")</f>
        <v/>
      </c>
      <c r="E108" s="129" t="str">
        <f>+IFERROR(VLOOKUP(C108,Hoja1!$A$1:$J$82,10,0),"")</f>
        <v/>
      </c>
      <c r="F108" s="129" t="str">
        <f>+IFERROR(VLOOKUP(C108,Hoja1!$A$1:$I$82,3,0),"")</f>
        <v/>
      </c>
      <c r="G108" s="128" t="str">
        <f>+IFERROR(VLOOKUP(C108,Hoja1!$A$1:$K$82,11,0),"")</f>
        <v/>
      </c>
      <c r="H108" s="130" t="str">
        <f>+IFERROR(VLOOKUP(C108,Hoja1!$A$1:$L$82,12,0),"")</f>
        <v/>
      </c>
      <c r="I108" s="50"/>
      <c r="J108" s="79">
        <v>94</v>
      </c>
      <c r="K108" s="78"/>
      <c r="M108" s="76"/>
      <c r="N108" s="54"/>
      <c r="O108" s="54"/>
      <c r="P108" s="54"/>
      <c r="Q108" s="54"/>
      <c r="R108" s="54"/>
      <c r="S108" s="54"/>
    </row>
    <row r="109" spans="2:19" s="46" customFormat="1" ht="99.75" customHeight="1" x14ac:dyDescent="0.2">
      <c r="B109" s="127">
        <f t="shared" si="2"/>
        <v>95</v>
      </c>
      <c r="C109" s="128" t="str">
        <f>+IFERROR(INDEX(Hoja1!$A$2:$A$82,MATCH(J109,Hoja1!$H$2:$H$82,0)),"")</f>
        <v/>
      </c>
      <c r="D109" s="129" t="str">
        <f>IFERROR(VLOOKUP(C109,Hoja1!$A$2:$H$82,4,0),"")</f>
        <v/>
      </c>
      <c r="E109" s="129" t="str">
        <f>+IFERROR(VLOOKUP(C109,Hoja1!$A$1:$J$82,10,0),"")</f>
        <v/>
      </c>
      <c r="F109" s="129" t="str">
        <f>+IFERROR(VLOOKUP(C109,Hoja1!$A$1:$I$82,3,0),"")</f>
        <v/>
      </c>
      <c r="G109" s="128" t="str">
        <f>+IFERROR(VLOOKUP(C109,Hoja1!$A$1:$K$82,11,0),"")</f>
        <v/>
      </c>
      <c r="H109" s="130" t="str">
        <f>+IFERROR(VLOOKUP(C109,Hoja1!$A$1:$L$82,12,0),"")</f>
        <v/>
      </c>
      <c r="I109" s="50"/>
      <c r="J109" s="79">
        <v>95</v>
      </c>
      <c r="K109" s="78"/>
      <c r="M109" s="76"/>
      <c r="N109" s="54"/>
      <c r="O109" s="54"/>
      <c r="P109" s="54"/>
      <c r="Q109" s="54"/>
      <c r="R109" s="54"/>
      <c r="S109" s="54"/>
    </row>
    <row r="110" spans="2:19" s="46" customFormat="1" ht="99.75" customHeight="1" x14ac:dyDescent="0.2">
      <c r="B110" s="131">
        <f t="shared" si="2"/>
        <v>96</v>
      </c>
      <c r="C110" s="128" t="str">
        <f>+IFERROR(INDEX(Hoja1!$A$2:$A$82,MATCH(J110,Hoja1!$H$2:$H$82,0)),"")</f>
        <v/>
      </c>
      <c r="D110" s="129" t="str">
        <f>IFERROR(VLOOKUP(C110,Hoja1!$A$2:$H$82,4,0),"")</f>
        <v/>
      </c>
      <c r="E110" s="129" t="str">
        <f>+IFERROR(VLOOKUP(C110,Hoja1!$A$1:$J$82,10,0),"")</f>
        <v/>
      </c>
      <c r="F110" s="129" t="str">
        <f>+IFERROR(VLOOKUP(C110,Hoja1!$A$1:$I$82,3,0),"")</f>
        <v/>
      </c>
      <c r="G110" s="128" t="str">
        <f>+IFERROR(VLOOKUP(C110,Hoja1!$A$1:$K$82,11,0),"")</f>
        <v/>
      </c>
      <c r="H110" s="130" t="str">
        <f>+IFERROR(VLOOKUP(C110,Hoja1!$A$1:$L$82,12,0),"")</f>
        <v/>
      </c>
      <c r="I110" s="50"/>
      <c r="J110" s="79">
        <v>96</v>
      </c>
      <c r="K110" s="78"/>
      <c r="M110" s="76"/>
      <c r="N110" s="54"/>
      <c r="O110" s="54"/>
      <c r="P110" s="54"/>
      <c r="Q110" s="54"/>
      <c r="R110" s="54"/>
      <c r="S110" s="54"/>
    </row>
    <row r="111" spans="2:19" s="46" customFormat="1" ht="99.75" customHeight="1" x14ac:dyDescent="0.2">
      <c r="B111" s="127">
        <f t="shared" si="2"/>
        <v>97</v>
      </c>
      <c r="C111" s="128" t="str">
        <f>+IFERROR(INDEX(Hoja1!$A$2:$A$82,MATCH(J111,Hoja1!$H$2:$H$82,0)),"")</f>
        <v/>
      </c>
      <c r="D111" s="129" t="str">
        <f>IFERROR(VLOOKUP(C111,Hoja1!$A$2:$H$82,4,0),"")</f>
        <v/>
      </c>
      <c r="E111" s="129" t="str">
        <f>+IFERROR(VLOOKUP(C111,Hoja1!$A$1:$J$82,10,0),"")</f>
        <v/>
      </c>
      <c r="F111" s="129" t="str">
        <f>+IFERROR(VLOOKUP(C111,Hoja1!$A$1:$I$82,3,0),"")</f>
        <v/>
      </c>
      <c r="G111" s="128" t="str">
        <f>+IFERROR(VLOOKUP(C111,Hoja1!$A$1:$K$82,11,0),"")</f>
        <v/>
      </c>
      <c r="H111" s="130" t="str">
        <f>+IFERROR(VLOOKUP(C111,Hoja1!$A$1:$L$82,12,0),"")</f>
        <v/>
      </c>
      <c r="I111" s="50"/>
      <c r="J111" s="79">
        <v>97</v>
      </c>
      <c r="K111" s="78"/>
      <c r="M111" s="76"/>
      <c r="N111" s="54"/>
      <c r="O111" s="54"/>
      <c r="P111" s="54"/>
      <c r="Q111" s="54"/>
      <c r="R111" s="54"/>
      <c r="S111" s="54"/>
    </row>
    <row r="112" spans="2:19" s="46" customFormat="1" ht="99.75" customHeight="1" x14ac:dyDescent="0.2">
      <c r="B112" s="127">
        <f t="shared" si="2"/>
        <v>98</v>
      </c>
      <c r="C112" s="128" t="str">
        <f>+IFERROR(INDEX(Hoja1!$A$2:$A$82,MATCH(J112,Hoja1!$H$2:$H$82,0)),"")</f>
        <v/>
      </c>
      <c r="D112" s="129" t="str">
        <f>IFERROR(VLOOKUP(C112,Hoja1!$A$2:$H$82,4,0),"")</f>
        <v/>
      </c>
      <c r="E112" s="129" t="str">
        <f>+IFERROR(VLOOKUP(C112,Hoja1!$A$1:$J$82,10,0),"")</f>
        <v/>
      </c>
      <c r="F112" s="129" t="str">
        <f>+IFERROR(VLOOKUP(C112,Hoja1!$A$1:$I$82,3,0),"")</f>
        <v/>
      </c>
      <c r="G112" s="128" t="str">
        <f>+IFERROR(VLOOKUP(C112,Hoja1!$A$1:$K$82,11,0),"")</f>
        <v/>
      </c>
      <c r="H112" s="130" t="str">
        <f>+IFERROR(VLOOKUP(C112,Hoja1!$A$1:$L$82,12,0),"")</f>
        <v/>
      </c>
      <c r="I112" s="50"/>
      <c r="J112" s="79">
        <v>98</v>
      </c>
      <c r="K112" s="78"/>
      <c r="M112" s="76"/>
      <c r="N112" s="54"/>
      <c r="O112" s="54"/>
      <c r="P112" s="54"/>
      <c r="Q112" s="54"/>
      <c r="R112" s="54"/>
      <c r="S112" s="54"/>
    </row>
    <row r="113" spans="2:19" s="46" customFormat="1" ht="99.75" customHeight="1" x14ac:dyDescent="0.2">
      <c r="B113" s="127">
        <f t="shared" si="2"/>
        <v>99</v>
      </c>
      <c r="C113" s="128" t="str">
        <f>+IFERROR(INDEX(Hoja1!$A$2:$A$82,MATCH(J113,Hoja1!$H$2:$H$82,0)),"")</f>
        <v/>
      </c>
      <c r="D113" s="129" t="str">
        <f>IFERROR(VLOOKUP(C113,Hoja1!$A$2:$H$82,4,0),"")</f>
        <v/>
      </c>
      <c r="E113" s="129" t="str">
        <f>+IFERROR(VLOOKUP(C113,Hoja1!$A$1:$J$82,10,0),"")</f>
        <v/>
      </c>
      <c r="F113" s="129" t="str">
        <f>+IFERROR(VLOOKUP(C113,Hoja1!$A$1:$I$82,3,0),"")</f>
        <v/>
      </c>
      <c r="G113" s="128" t="str">
        <f>+IFERROR(VLOOKUP(C113,Hoja1!$A$1:$K$82,11,0),"")</f>
        <v/>
      </c>
      <c r="H113" s="130" t="str">
        <f>+IFERROR(VLOOKUP(C113,Hoja1!$A$1:$L$82,12,0),"")</f>
        <v/>
      </c>
      <c r="I113" s="50"/>
      <c r="J113" s="79">
        <v>99</v>
      </c>
      <c r="K113" s="78"/>
      <c r="M113" s="76"/>
      <c r="N113" s="54"/>
      <c r="O113" s="54"/>
      <c r="P113" s="54"/>
      <c r="Q113" s="54"/>
      <c r="R113" s="54"/>
      <c r="S113" s="54"/>
    </row>
    <row r="114" spans="2:19" s="46" customFormat="1" ht="99.75" customHeight="1" x14ac:dyDescent="0.2">
      <c r="B114" s="127">
        <f t="shared" si="2"/>
        <v>100</v>
      </c>
      <c r="C114" s="128" t="str">
        <f>+IFERROR(INDEX(Hoja1!$A$2:$A$82,MATCH(J114,Hoja1!$H$2:$H$82,0)),"")</f>
        <v/>
      </c>
      <c r="D114" s="129" t="str">
        <f>IFERROR(VLOOKUP(C114,Hoja1!$A$2:$H$82,4,0),"")</f>
        <v/>
      </c>
      <c r="E114" s="129" t="str">
        <f>+IFERROR(VLOOKUP(C114,Hoja1!$A$1:$J$82,10,0),"")</f>
        <v/>
      </c>
      <c r="F114" s="129" t="str">
        <f>+IFERROR(VLOOKUP(C114,Hoja1!$A$1:$I$82,3,0),"")</f>
        <v/>
      </c>
      <c r="G114" s="128" t="str">
        <f>+IFERROR(VLOOKUP(C114,Hoja1!$A$1:$K$82,11,0),"")</f>
        <v/>
      </c>
      <c r="H114" s="130" t="str">
        <f>+IFERROR(VLOOKUP(C114,Hoja1!$A$1:$L$82,12,0),"")</f>
        <v/>
      </c>
      <c r="I114" s="50"/>
      <c r="J114" s="79">
        <v>100</v>
      </c>
      <c r="K114" s="78"/>
      <c r="M114" s="76"/>
      <c r="N114" s="54"/>
      <c r="O114" s="54"/>
      <c r="P114" s="54"/>
      <c r="Q114" s="54"/>
      <c r="R114" s="54"/>
      <c r="S114" s="54"/>
    </row>
    <row r="115" spans="2:19" s="46" customFormat="1" ht="99.75" customHeight="1" x14ac:dyDescent="0.2">
      <c r="B115" s="131">
        <f t="shared" si="2"/>
        <v>101</v>
      </c>
      <c r="C115" s="128" t="str">
        <f>+IFERROR(INDEX(Hoja1!$A$2:$A$82,MATCH(J115,Hoja1!$H$2:$H$82,0)),"")</f>
        <v/>
      </c>
      <c r="D115" s="129" t="str">
        <f>IFERROR(VLOOKUP(C115,Hoja1!$A$2:$H$82,4,0),"")</f>
        <v/>
      </c>
      <c r="E115" s="129" t="str">
        <f>+IFERROR(VLOOKUP(C115,Hoja1!$A$1:$J$82,10,0),"")</f>
        <v/>
      </c>
      <c r="F115" s="129" t="str">
        <f>+IFERROR(VLOOKUP(C115,Hoja1!$A$1:$I$82,3,0),"")</f>
        <v/>
      </c>
      <c r="G115" s="128" t="str">
        <f>+IFERROR(VLOOKUP(C115,Hoja1!$A$1:$K$82,11,0),"")</f>
        <v/>
      </c>
      <c r="H115" s="130" t="str">
        <f>+IFERROR(VLOOKUP(C115,Hoja1!$A$1:$L$82,12,0),"")</f>
        <v/>
      </c>
      <c r="I115" s="50"/>
      <c r="J115" s="79">
        <v>101</v>
      </c>
      <c r="K115" s="78"/>
      <c r="M115" s="76"/>
      <c r="N115" s="54"/>
      <c r="O115" s="54"/>
      <c r="P115" s="54"/>
      <c r="Q115" s="54"/>
      <c r="R115" s="54"/>
      <c r="S115" s="54"/>
    </row>
    <row r="116" spans="2:19" s="46" customFormat="1" ht="99.75" customHeight="1" x14ac:dyDescent="0.2">
      <c r="B116" s="127">
        <f t="shared" si="2"/>
        <v>102</v>
      </c>
      <c r="C116" s="128" t="str">
        <f>+IFERROR(INDEX(Hoja1!$A$2:$A$82,MATCH(J116,Hoja1!$H$2:$H$82,0)),"")</f>
        <v/>
      </c>
      <c r="D116" s="129" t="str">
        <f>IFERROR(VLOOKUP(C116,Hoja1!$A$2:$H$82,4,0),"")</f>
        <v/>
      </c>
      <c r="E116" s="129" t="str">
        <f>+IFERROR(VLOOKUP(C116,Hoja1!$A$1:$J$82,10,0),"")</f>
        <v/>
      </c>
      <c r="F116" s="129" t="str">
        <f>+IFERROR(VLOOKUP(C116,Hoja1!$A$1:$I$82,3,0),"")</f>
        <v/>
      </c>
      <c r="G116" s="128" t="str">
        <f>+IFERROR(VLOOKUP(C116,Hoja1!$A$1:$K$82,11,0),"")</f>
        <v/>
      </c>
      <c r="H116" s="130" t="str">
        <f>+IFERROR(VLOOKUP(C116,Hoja1!$A$1:$L$82,12,0),"")</f>
        <v/>
      </c>
      <c r="I116" s="50"/>
      <c r="J116" s="79">
        <v>102</v>
      </c>
      <c r="K116" s="78"/>
      <c r="M116" s="76"/>
      <c r="N116" s="54"/>
      <c r="O116" s="54"/>
      <c r="P116" s="54"/>
      <c r="Q116" s="54"/>
      <c r="R116" s="54"/>
      <c r="S116" s="54"/>
    </row>
    <row r="117" spans="2:19" s="46" customFormat="1" ht="99.75" customHeight="1" x14ac:dyDescent="0.2">
      <c r="B117" s="127">
        <f t="shared" si="2"/>
        <v>103</v>
      </c>
      <c r="C117" s="128" t="str">
        <f>+IFERROR(INDEX(Hoja1!$A$2:$A$82,MATCH(J117,Hoja1!$H$2:$H$82,0)),"")</f>
        <v/>
      </c>
      <c r="D117" s="129" t="str">
        <f>IFERROR(VLOOKUP(C117,Hoja1!$A$2:$H$82,4,0),"")</f>
        <v/>
      </c>
      <c r="E117" s="129" t="str">
        <f>+IFERROR(VLOOKUP(C117,Hoja1!$A$1:$J$82,10,0),"")</f>
        <v/>
      </c>
      <c r="F117" s="129" t="str">
        <f>+IFERROR(VLOOKUP(C117,Hoja1!$A$1:$I$82,3,0),"")</f>
        <v/>
      </c>
      <c r="G117" s="128" t="str">
        <f>+IFERROR(VLOOKUP(C117,Hoja1!$A$1:$K$82,11,0),"")</f>
        <v/>
      </c>
      <c r="H117" s="130" t="str">
        <f>+IFERROR(VLOOKUP(C117,Hoja1!$A$1:$L$82,12,0),"")</f>
        <v/>
      </c>
      <c r="I117" s="50"/>
      <c r="J117" s="79">
        <v>103</v>
      </c>
      <c r="K117" s="78"/>
      <c r="M117" s="76"/>
      <c r="N117" s="54"/>
      <c r="O117" s="54"/>
      <c r="P117" s="54"/>
      <c r="Q117" s="54"/>
      <c r="R117" s="54"/>
      <c r="S117" s="54"/>
    </row>
    <row r="118" spans="2:19" s="46" customFormat="1" ht="99.75" customHeight="1" x14ac:dyDescent="0.2">
      <c r="B118" s="127">
        <f t="shared" si="2"/>
        <v>104</v>
      </c>
      <c r="C118" s="128" t="str">
        <f>+IFERROR(INDEX(Hoja1!$A$2:$A$82,MATCH(J118,Hoja1!$H$2:$H$82,0)),"")</f>
        <v/>
      </c>
      <c r="D118" s="129" t="str">
        <f>IFERROR(VLOOKUP(C118,Hoja1!$A$2:$H$82,4,0),"")</f>
        <v/>
      </c>
      <c r="E118" s="129" t="str">
        <f>+IFERROR(VLOOKUP(C118,Hoja1!$A$1:$J$82,10,0),"")</f>
        <v/>
      </c>
      <c r="F118" s="129" t="str">
        <f>+IFERROR(VLOOKUP(C118,Hoja1!$A$1:$I$82,3,0),"")</f>
        <v/>
      </c>
      <c r="G118" s="128" t="str">
        <f>+IFERROR(VLOOKUP(C118,Hoja1!$A$1:$K$82,11,0),"")</f>
        <v/>
      </c>
      <c r="H118" s="130" t="str">
        <f>+IFERROR(VLOOKUP(C118,Hoja1!$A$1:$L$82,12,0),"")</f>
        <v/>
      </c>
      <c r="I118" s="50"/>
      <c r="J118" s="79">
        <v>104</v>
      </c>
      <c r="K118" s="78"/>
      <c r="M118" s="76"/>
      <c r="N118" s="54"/>
      <c r="O118" s="54"/>
      <c r="P118" s="54"/>
      <c r="Q118" s="54"/>
      <c r="R118" s="54"/>
      <c r="S118" s="54"/>
    </row>
    <row r="119" spans="2:19" s="46" customFormat="1" ht="99.75" customHeight="1" x14ac:dyDescent="0.2">
      <c r="B119" s="127">
        <f t="shared" si="2"/>
        <v>105</v>
      </c>
      <c r="C119" s="128" t="str">
        <f>+IFERROR(INDEX(Hoja1!$A$2:$A$82,MATCH(J119,Hoja1!$H$2:$H$82,0)),"")</f>
        <v/>
      </c>
      <c r="D119" s="129" t="str">
        <f>IFERROR(VLOOKUP(C119,Hoja1!$A$2:$H$82,4,0),"")</f>
        <v/>
      </c>
      <c r="E119" s="129" t="str">
        <f>+IFERROR(VLOOKUP(C119,Hoja1!$A$1:$J$82,10,0),"")</f>
        <v/>
      </c>
      <c r="F119" s="129" t="str">
        <f>+IFERROR(VLOOKUP(C119,Hoja1!$A$1:$I$82,3,0),"")</f>
        <v/>
      </c>
      <c r="G119" s="128" t="str">
        <f>+IFERROR(VLOOKUP(C119,Hoja1!$A$1:$K$82,11,0),"")</f>
        <v/>
      </c>
      <c r="H119" s="130" t="str">
        <f>+IFERROR(VLOOKUP(C119,Hoja1!$A$1:$L$82,12,0),"")</f>
        <v/>
      </c>
      <c r="I119" s="50"/>
      <c r="J119" s="79">
        <v>105</v>
      </c>
      <c r="K119" s="78"/>
      <c r="M119" s="76"/>
      <c r="N119" s="54"/>
      <c r="O119" s="54"/>
      <c r="P119" s="54"/>
      <c r="Q119" s="54"/>
      <c r="R119" s="54"/>
      <c r="S119" s="54"/>
    </row>
    <row r="120" spans="2:19" s="46" customFormat="1" ht="99.75" customHeight="1" x14ac:dyDescent="0.2">
      <c r="B120" s="131">
        <f t="shared" si="2"/>
        <v>106</v>
      </c>
      <c r="C120" s="128" t="str">
        <f>+IFERROR(INDEX(Hoja1!$A$2:$A$82,MATCH(J120,Hoja1!$H$2:$H$82,0)),"")</f>
        <v/>
      </c>
      <c r="D120" s="129" t="str">
        <f>IFERROR(VLOOKUP(C120,Hoja1!$A$2:$H$82,4,0),"")</f>
        <v/>
      </c>
      <c r="E120" s="129" t="str">
        <f>+IFERROR(VLOOKUP(C120,Hoja1!$A$1:$J$82,10,0),"")</f>
        <v/>
      </c>
      <c r="F120" s="129" t="str">
        <f>+IFERROR(VLOOKUP(C120,Hoja1!$A$1:$I$82,3,0),"")</f>
        <v/>
      </c>
      <c r="G120" s="128" t="str">
        <f>+IFERROR(VLOOKUP(C120,Hoja1!$A$1:$K$82,11,0),"")</f>
        <v/>
      </c>
      <c r="H120" s="130" t="str">
        <f>+IFERROR(VLOOKUP(C120,Hoja1!$A$1:$L$82,12,0),"")</f>
        <v/>
      </c>
      <c r="I120" s="50"/>
      <c r="J120" s="79">
        <v>106</v>
      </c>
      <c r="K120" s="78"/>
      <c r="M120" s="76"/>
      <c r="N120" s="54"/>
      <c r="O120" s="54"/>
      <c r="P120" s="54"/>
      <c r="Q120" s="54"/>
      <c r="R120" s="54"/>
      <c r="S120" s="54"/>
    </row>
    <row r="121" spans="2:19" s="46" customFormat="1" ht="99.75" customHeight="1" x14ac:dyDescent="0.2">
      <c r="B121" s="127">
        <f t="shared" si="2"/>
        <v>107</v>
      </c>
      <c r="C121" s="128" t="str">
        <f>+IFERROR(INDEX(Hoja1!$A$2:$A$82,MATCH(J121,Hoja1!$H$2:$H$82,0)),"")</f>
        <v/>
      </c>
      <c r="D121" s="129" t="str">
        <f>IFERROR(VLOOKUP(C121,Hoja1!$A$2:$H$82,4,0),"")</f>
        <v/>
      </c>
      <c r="E121" s="129" t="str">
        <f>+IFERROR(VLOOKUP(C121,Hoja1!$A$1:$J$82,10,0),"")</f>
        <v/>
      </c>
      <c r="F121" s="129" t="str">
        <f>+IFERROR(VLOOKUP(C121,Hoja1!$A$1:$I$82,3,0),"")</f>
        <v/>
      </c>
      <c r="G121" s="128" t="str">
        <f>+IFERROR(VLOOKUP(C121,Hoja1!$A$1:$K$82,11,0),"")</f>
        <v/>
      </c>
      <c r="H121" s="130" t="str">
        <f>+IFERROR(VLOOKUP(C121,Hoja1!$A$1:$L$82,12,0),"")</f>
        <v/>
      </c>
      <c r="I121" s="50"/>
      <c r="J121" s="79">
        <v>107</v>
      </c>
      <c r="K121" s="78"/>
      <c r="M121" s="76"/>
      <c r="N121" s="54"/>
      <c r="O121" s="54"/>
      <c r="P121" s="54"/>
      <c r="Q121" s="54"/>
      <c r="R121" s="54"/>
      <c r="S121" s="54"/>
    </row>
    <row r="122" spans="2:19" s="46" customFormat="1" ht="99.75" customHeight="1" x14ac:dyDescent="0.2">
      <c r="B122" s="127">
        <f t="shared" si="2"/>
        <v>108</v>
      </c>
      <c r="C122" s="128" t="str">
        <f>+IFERROR(INDEX(Hoja1!$A$2:$A$82,MATCH(J122,Hoja1!$H$2:$H$82,0)),"")</f>
        <v/>
      </c>
      <c r="D122" s="129" t="str">
        <f>IFERROR(VLOOKUP(C122,Hoja1!$A$2:$H$82,4,0),"")</f>
        <v/>
      </c>
      <c r="E122" s="129" t="str">
        <f>+IFERROR(VLOOKUP(C122,Hoja1!$A$1:$J$82,10,0),"")</f>
        <v/>
      </c>
      <c r="F122" s="129" t="str">
        <f>+IFERROR(VLOOKUP(C122,Hoja1!$A$1:$I$82,3,0),"")</f>
        <v/>
      </c>
      <c r="G122" s="128" t="str">
        <f>+IFERROR(VLOOKUP(C122,Hoja1!$A$1:$K$82,11,0),"")</f>
        <v/>
      </c>
      <c r="H122" s="130" t="str">
        <f>+IFERROR(VLOOKUP(C122,Hoja1!$A$1:$L$82,12,0),"")</f>
        <v/>
      </c>
      <c r="I122" s="50"/>
      <c r="J122" s="79">
        <v>108</v>
      </c>
      <c r="K122" s="78"/>
      <c r="M122" s="76"/>
      <c r="N122" s="54"/>
      <c r="O122" s="54"/>
      <c r="P122" s="54"/>
      <c r="Q122" s="54"/>
      <c r="R122" s="54"/>
      <c r="S122" s="54"/>
    </row>
    <row r="123" spans="2:19" s="46" customFormat="1" ht="99.75" customHeight="1" x14ac:dyDescent="0.2">
      <c r="B123" s="127">
        <f t="shared" si="2"/>
        <v>109</v>
      </c>
      <c r="C123" s="128" t="str">
        <f>+IFERROR(INDEX(Hoja1!$A$2:$A$82,MATCH(J123,Hoja1!$H$2:$H$82,0)),"")</f>
        <v/>
      </c>
      <c r="D123" s="129" t="str">
        <f>IFERROR(VLOOKUP(C123,Hoja1!$A$2:$H$82,4,0),"")</f>
        <v/>
      </c>
      <c r="E123" s="129" t="str">
        <f>+IFERROR(VLOOKUP(C123,Hoja1!$A$1:$J$82,10,0),"")</f>
        <v/>
      </c>
      <c r="F123" s="129" t="str">
        <f>+IFERROR(VLOOKUP(C123,Hoja1!$A$1:$I$82,3,0),"")</f>
        <v/>
      </c>
      <c r="G123" s="128" t="str">
        <f>+IFERROR(VLOOKUP(C123,Hoja1!$A$1:$K$82,11,0),"")</f>
        <v/>
      </c>
      <c r="H123" s="130" t="str">
        <f>+IFERROR(VLOOKUP(C123,Hoja1!$A$1:$L$82,12,0),"")</f>
        <v/>
      </c>
      <c r="I123" s="50"/>
      <c r="J123" s="79">
        <v>109</v>
      </c>
      <c r="K123" s="78"/>
      <c r="M123" s="76"/>
      <c r="N123" s="54"/>
      <c r="O123" s="54"/>
      <c r="P123" s="54"/>
      <c r="Q123" s="54"/>
      <c r="R123" s="54"/>
      <c r="S123" s="54"/>
    </row>
    <row r="124" spans="2:19" s="46" customFormat="1" ht="99.75" customHeight="1" x14ac:dyDescent="0.2">
      <c r="B124" s="127">
        <f t="shared" si="2"/>
        <v>110</v>
      </c>
      <c r="C124" s="128" t="str">
        <f>+IFERROR(INDEX(Hoja1!$A$2:$A$82,MATCH(J124,Hoja1!$H$2:$H$82,0)),"")</f>
        <v/>
      </c>
      <c r="D124" s="129" t="str">
        <f>IFERROR(VLOOKUP(C124,Hoja1!$A$2:$H$82,4,0),"")</f>
        <v/>
      </c>
      <c r="E124" s="129" t="str">
        <f>+IFERROR(VLOOKUP(C124,Hoja1!$A$1:$J$82,10,0),"")</f>
        <v/>
      </c>
      <c r="F124" s="129" t="str">
        <f>+IFERROR(VLOOKUP(C124,Hoja1!$A$1:$I$82,3,0),"")</f>
        <v/>
      </c>
      <c r="G124" s="128" t="str">
        <f>+IFERROR(VLOOKUP(C124,Hoja1!$A$1:$K$82,11,0),"")</f>
        <v/>
      </c>
      <c r="H124" s="130" t="str">
        <f>+IFERROR(VLOOKUP(C124,Hoja1!$A$1:$L$82,12,0),"")</f>
        <v/>
      </c>
      <c r="I124" s="50"/>
      <c r="J124" s="79">
        <v>110</v>
      </c>
      <c r="K124" s="78"/>
      <c r="M124" s="76"/>
      <c r="N124" s="54"/>
      <c r="O124" s="54"/>
      <c r="P124" s="54"/>
      <c r="Q124" s="54"/>
      <c r="R124" s="54"/>
      <c r="S124" s="54"/>
    </row>
    <row r="125" spans="2:19" s="46" customFormat="1" ht="99.75" customHeight="1" x14ac:dyDescent="0.2">
      <c r="B125" s="131">
        <f t="shared" si="2"/>
        <v>111</v>
      </c>
      <c r="C125" s="128" t="str">
        <f>+IFERROR(INDEX(Hoja1!$A$2:$A$82,MATCH(J125,Hoja1!$H$2:$H$82,0)),"")</f>
        <v/>
      </c>
      <c r="D125" s="129" t="str">
        <f>IFERROR(VLOOKUP(C125,Hoja1!$A$2:$H$82,4,0),"")</f>
        <v/>
      </c>
      <c r="E125" s="129" t="str">
        <f>+IFERROR(VLOOKUP(C125,Hoja1!$A$1:$J$82,10,0),"")</f>
        <v/>
      </c>
      <c r="F125" s="129" t="str">
        <f>+IFERROR(VLOOKUP(C125,Hoja1!$A$1:$I$82,3,0),"")</f>
        <v/>
      </c>
      <c r="G125" s="128" t="str">
        <f>+IFERROR(VLOOKUP(C125,Hoja1!$A$1:$K$82,11,0),"")</f>
        <v/>
      </c>
      <c r="H125" s="130" t="str">
        <f>+IFERROR(VLOOKUP(C125,Hoja1!$A$1:$L$82,12,0),"")</f>
        <v/>
      </c>
      <c r="I125" s="50"/>
      <c r="J125" s="79">
        <v>111</v>
      </c>
      <c r="K125" s="78"/>
      <c r="M125" s="76"/>
      <c r="N125" s="54"/>
      <c r="O125" s="54"/>
      <c r="P125" s="54"/>
      <c r="Q125" s="54"/>
      <c r="R125" s="54"/>
      <c r="S125" s="54"/>
    </row>
    <row r="126" spans="2:19" s="46" customFormat="1" ht="99.75" customHeight="1" x14ac:dyDescent="0.2">
      <c r="B126" s="127">
        <f t="shared" si="2"/>
        <v>112</v>
      </c>
      <c r="C126" s="128" t="str">
        <f>+IFERROR(INDEX(Hoja1!$A$2:$A$82,MATCH(J126,Hoja1!$H$2:$H$82,0)),"")</f>
        <v/>
      </c>
      <c r="D126" s="129" t="str">
        <f>IFERROR(VLOOKUP(C126,Hoja1!$A$2:$H$82,4,0),"")</f>
        <v/>
      </c>
      <c r="E126" s="129" t="str">
        <f>+IFERROR(VLOOKUP(C126,Hoja1!$A$1:$J$82,10,0),"")</f>
        <v/>
      </c>
      <c r="F126" s="129" t="str">
        <f>+IFERROR(VLOOKUP(C126,Hoja1!$A$1:$I$82,3,0),"")</f>
        <v/>
      </c>
      <c r="G126" s="128" t="str">
        <f>+IFERROR(VLOOKUP(C126,Hoja1!$A$1:$K$82,11,0),"")</f>
        <v/>
      </c>
      <c r="H126" s="130" t="str">
        <f>+IFERROR(VLOOKUP(C126,Hoja1!$A$1:$L$82,12,0),"")</f>
        <v/>
      </c>
      <c r="I126" s="50"/>
      <c r="J126" s="79">
        <v>112</v>
      </c>
      <c r="K126" s="78"/>
      <c r="M126" s="76"/>
      <c r="N126" s="54"/>
      <c r="O126" s="54"/>
      <c r="P126" s="54"/>
      <c r="Q126" s="54"/>
      <c r="R126" s="54"/>
      <c r="S126" s="54"/>
    </row>
    <row r="127" spans="2:19" s="46" customFormat="1" ht="99.75" customHeight="1" x14ac:dyDescent="0.2">
      <c r="B127" s="127">
        <f t="shared" si="2"/>
        <v>113</v>
      </c>
      <c r="C127" s="128" t="str">
        <f>+IFERROR(INDEX(Hoja1!$A$2:$A$82,MATCH(J127,Hoja1!$H$2:$H$82,0)),"")</f>
        <v/>
      </c>
      <c r="D127" s="129" t="str">
        <f>IFERROR(VLOOKUP(C127,Hoja1!$A$2:$H$82,4,0),"")</f>
        <v/>
      </c>
      <c r="E127" s="129" t="str">
        <f>+IFERROR(VLOOKUP(C127,Hoja1!$A$1:$J$82,10,0),"")</f>
        <v/>
      </c>
      <c r="F127" s="129" t="str">
        <f>+IFERROR(VLOOKUP(C127,Hoja1!$A$1:$I$82,3,0),"")</f>
        <v/>
      </c>
      <c r="G127" s="128" t="str">
        <f>+IFERROR(VLOOKUP(C127,Hoja1!$A$1:$K$82,11,0),"")</f>
        <v/>
      </c>
      <c r="H127" s="130" t="str">
        <f>+IFERROR(VLOOKUP(C127,Hoja1!$A$1:$L$82,12,0),"")</f>
        <v/>
      </c>
      <c r="I127" s="50"/>
      <c r="J127" s="79">
        <v>113</v>
      </c>
      <c r="K127" s="78"/>
      <c r="M127" s="76"/>
      <c r="N127" s="54"/>
      <c r="O127" s="54"/>
      <c r="P127" s="54"/>
      <c r="Q127" s="54"/>
      <c r="R127" s="54"/>
      <c r="S127" s="54"/>
    </row>
    <row r="128" spans="2:19" s="46" customFormat="1" ht="99.75" customHeight="1" x14ac:dyDescent="0.2">
      <c r="B128" s="127">
        <f t="shared" si="2"/>
        <v>114</v>
      </c>
      <c r="C128" s="128" t="str">
        <f>+IFERROR(INDEX(Hoja1!$A$2:$A$82,MATCH(J128,Hoja1!$H$2:$H$82,0)),"")</f>
        <v/>
      </c>
      <c r="D128" s="129" t="str">
        <f>IFERROR(VLOOKUP(C128,Hoja1!$A$2:$H$82,4,0),"")</f>
        <v/>
      </c>
      <c r="E128" s="129" t="str">
        <f>+IFERROR(VLOOKUP(C128,Hoja1!$A$1:$J$82,10,0),"")</f>
        <v/>
      </c>
      <c r="F128" s="129" t="str">
        <f>+IFERROR(VLOOKUP(C128,Hoja1!$A$1:$I$82,3,0),"")</f>
        <v/>
      </c>
      <c r="G128" s="128" t="str">
        <f>+IFERROR(VLOOKUP(C128,Hoja1!$A$1:$K$82,11,0),"")</f>
        <v/>
      </c>
      <c r="H128" s="130" t="str">
        <f>+IFERROR(VLOOKUP(C128,Hoja1!$A$1:$L$82,12,0),"")</f>
        <v/>
      </c>
      <c r="I128" s="50"/>
      <c r="J128" s="79">
        <v>114</v>
      </c>
      <c r="K128" s="78"/>
      <c r="M128" s="76"/>
      <c r="N128" s="54"/>
      <c r="O128" s="54"/>
      <c r="P128" s="54"/>
      <c r="Q128" s="54"/>
      <c r="R128" s="54"/>
      <c r="S128" s="54"/>
    </row>
    <row r="129" spans="2:19" s="46" customFormat="1" ht="99.75" customHeight="1" x14ac:dyDescent="0.2">
      <c r="B129" s="127">
        <f t="shared" si="2"/>
        <v>115</v>
      </c>
      <c r="C129" s="128" t="str">
        <f>+IFERROR(INDEX(Hoja1!$A$2:$A$82,MATCH(J129,Hoja1!$H$2:$H$82,0)),"")</f>
        <v/>
      </c>
      <c r="D129" s="129" t="str">
        <f>IFERROR(VLOOKUP(C129,Hoja1!$A$2:$H$82,4,0),"")</f>
        <v/>
      </c>
      <c r="E129" s="129" t="str">
        <f>+IFERROR(VLOOKUP(C129,Hoja1!$A$1:$J$82,10,0),"")</f>
        <v/>
      </c>
      <c r="F129" s="129" t="str">
        <f>+IFERROR(VLOOKUP(C129,Hoja1!$A$1:$I$82,3,0),"")</f>
        <v/>
      </c>
      <c r="G129" s="128" t="str">
        <f>+IFERROR(VLOOKUP(C129,Hoja1!$A$1:$K$82,11,0),"")</f>
        <v/>
      </c>
      <c r="H129" s="130" t="str">
        <f>+IFERROR(VLOOKUP(C129,Hoja1!$A$1:$L$82,12,0),"")</f>
        <v/>
      </c>
      <c r="I129" s="50"/>
      <c r="J129" s="79">
        <v>115</v>
      </c>
      <c r="K129" s="78"/>
      <c r="M129" s="76"/>
      <c r="N129" s="54"/>
      <c r="O129" s="54"/>
      <c r="P129" s="54"/>
      <c r="Q129" s="54"/>
      <c r="R129" s="54"/>
      <c r="S129" s="54"/>
    </row>
    <row r="130" spans="2:19" s="46" customFormat="1" ht="99.75" customHeight="1" x14ac:dyDescent="0.2">
      <c r="B130" s="131">
        <f t="shared" si="2"/>
        <v>116</v>
      </c>
      <c r="C130" s="128" t="str">
        <f>+IFERROR(INDEX(Hoja1!$A$2:$A$82,MATCH(J130,Hoja1!$H$2:$H$82,0)),"")</f>
        <v/>
      </c>
      <c r="D130" s="129" t="str">
        <f>IFERROR(VLOOKUP(C130,Hoja1!$A$2:$H$82,4,0),"")</f>
        <v/>
      </c>
      <c r="E130" s="129" t="str">
        <f>+IFERROR(VLOOKUP(C130,Hoja1!$A$1:$J$82,10,0),"")</f>
        <v/>
      </c>
      <c r="F130" s="129" t="str">
        <f>+IFERROR(VLOOKUP(C130,Hoja1!$A$1:$I$82,3,0),"")</f>
        <v/>
      </c>
      <c r="G130" s="128" t="str">
        <f>+IFERROR(VLOOKUP(C130,Hoja1!$A$1:$K$82,11,0),"")</f>
        <v/>
      </c>
      <c r="H130" s="130" t="str">
        <f>+IFERROR(VLOOKUP(C130,Hoja1!$A$1:$L$82,12,0),"")</f>
        <v/>
      </c>
      <c r="I130" s="50"/>
      <c r="J130" s="79">
        <v>116</v>
      </c>
      <c r="K130" s="78"/>
      <c r="M130" s="76"/>
      <c r="N130" s="54"/>
      <c r="O130" s="54"/>
      <c r="P130" s="54"/>
      <c r="Q130" s="54"/>
      <c r="R130" s="54"/>
      <c r="S130" s="54"/>
    </row>
    <row r="131" spans="2:19" s="46" customFormat="1" ht="99.75" customHeight="1" x14ac:dyDescent="0.2">
      <c r="B131" s="127">
        <f t="shared" si="2"/>
        <v>117</v>
      </c>
      <c r="C131" s="128" t="str">
        <f>+IFERROR(INDEX(Hoja1!$A$2:$A$82,MATCH(J131,Hoja1!$H$2:$H$82,0)),"")</f>
        <v/>
      </c>
      <c r="D131" s="129" t="str">
        <f>IFERROR(VLOOKUP(C131,Hoja1!$A$2:$H$82,4,0),"")</f>
        <v/>
      </c>
      <c r="E131" s="129" t="str">
        <f>+IFERROR(VLOOKUP(C131,Hoja1!$A$1:$J$82,10,0),"")</f>
        <v/>
      </c>
      <c r="F131" s="129" t="str">
        <f>+IFERROR(VLOOKUP(C131,Hoja1!$A$1:$I$82,3,0),"")</f>
        <v/>
      </c>
      <c r="G131" s="128" t="str">
        <f>+IFERROR(VLOOKUP(C131,Hoja1!$A$1:$K$82,11,0),"")</f>
        <v/>
      </c>
      <c r="H131" s="130" t="str">
        <f>+IFERROR(VLOOKUP(C131,Hoja1!$A$1:$L$82,12,0),"")</f>
        <v/>
      </c>
      <c r="I131" s="50"/>
      <c r="J131" s="79">
        <v>117</v>
      </c>
      <c r="K131" s="78"/>
      <c r="M131" s="76"/>
      <c r="N131" s="54"/>
      <c r="O131" s="54"/>
      <c r="P131" s="54"/>
      <c r="Q131" s="54"/>
      <c r="R131" s="54"/>
      <c r="S131" s="54"/>
    </row>
    <row r="132" spans="2:19" s="46" customFormat="1" ht="99.75" customHeight="1" x14ac:dyDescent="0.2">
      <c r="B132" s="127">
        <f t="shared" si="2"/>
        <v>118</v>
      </c>
      <c r="C132" s="128" t="str">
        <f>+IFERROR(INDEX(Hoja1!$A$2:$A$82,MATCH(J132,Hoja1!$H$2:$H$82,0)),"")</f>
        <v/>
      </c>
      <c r="D132" s="129" t="str">
        <f>IFERROR(VLOOKUP(C132,Hoja1!$A$2:$H$82,4,0),"")</f>
        <v/>
      </c>
      <c r="E132" s="129" t="str">
        <f>+IFERROR(VLOOKUP(C132,Hoja1!$A$1:$J$82,10,0),"")</f>
        <v/>
      </c>
      <c r="F132" s="129" t="str">
        <f>+IFERROR(VLOOKUP(C132,Hoja1!$A$1:$I$82,3,0),"")</f>
        <v/>
      </c>
      <c r="G132" s="128" t="str">
        <f>+IFERROR(VLOOKUP(C132,Hoja1!$A$1:$K$82,11,0),"")</f>
        <v/>
      </c>
      <c r="H132" s="130" t="str">
        <f>+IFERROR(VLOOKUP(C132,Hoja1!$A$1:$L$82,12,0),"")</f>
        <v/>
      </c>
      <c r="I132" s="50"/>
      <c r="J132" s="79">
        <v>118</v>
      </c>
      <c r="K132" s="78"/>
      <c r="M132" s="76"/>
      <c r="N132" s="54"/>
      <c r="O132" s="54"/>
      <c r="P132" s="54"/>
      <c r="Q132" s="54"/>
      <c r="R132" s="54"/>
      <c r="S132" s="54"/>
    </row>
    <row r="133" spans="2:19" s="46" customFormat="1" ht="99.75" customHeight="1" x14ac:dyDescent="0.2">
      <c r="B133" s="127">
        <f t="shared" si="2"/>
        <v>119</v>
      </c>
      <c r="C133" s="128" t="str">
        <f>+IFERROR(INDEX(Hoja1!$A$2:$A$82,MATCH(J133,Hoja1!$H$2:$H$82,0)),"")</f>
        <v/>
      </c>
      <c r="D133" s="129" t="str">
        <f>IFERROR(VLOOKUP(C133,Hoja1!$A$2:$H$82,4,0),"")</f>
        <v/>
      </c>
      <c r="E133" s="129" t="str">
        <f>+IFERROR(VLOOKUP(C133,Hoja1!$A$1:$J$82,10,0),"")</f>
        <v/>
      </c>
      <c r="F133" s="129" t="str">
        <f>+IFERROR(VLOOKUP(C133,Hoja1!$A$1:$I$82,3,0),"")</f>
        <v/>
      </c>
      <c r="G133" s="128" t="str">
        <f>+IFERROR(VLOOKUP(C133,Hoja1!$A$1:$K$82,11,0),"")</f>
        <v/>
      </c>
      <c r="H133" s="130" t="str">
        <f>+IFERROR(VLOOKUP(C133,Hoja1!$A$1:$L$82,12,0),"")</f>
        <v/>
      </c>
      <c r="I133" s="50"/>
      <c r="J133" s="79">
        <v>119</v>
      </c>
      <c r="K133" s="78"/>
      <c r="M133" s="76"/>
      <c r="N133" s="54"/>
      <c r="O133" s="54"/>
      <c r="P133" s="54"/>
      <c r="Q133" s="54"/>
      <c r="R133" s="54"/>
      <c r="S133" s="54"/>
    </row>
    <row r="134" spans="2:19" s="46" customFormat="1" ht="99.75" customHeight="1" x14ac:dyDescent="0.2">
      <c r="B134" s="127">
        <f t="shared" si="2"/>
        <v>120</v>
      </c>
      <c r="C134" s="128" t="str">
        <f>+IFERROR(INDEX(Hoja1!$A$2:$A$82,MATCH(J134,Hoja1!$H$2:$H$82,0)),"")</f>
        <v/>
      </c>
      <c r="D134" s="129" t="str">
        <f>IFERROR(VLOOKUP(C134,Hoja1!$A$2:$H$82,4,0),"")</f>
        <v/>
      </c>
      <c r="E134" s="129" t="str">
        <f>+IFERROR(VLOOKUP(C134,Hoja1!$A$1:$J$82,10,0),"")</f>
        <v/>
      </c>
      <c r="F134" s="129" t="str">
        <f>+IFERROR(VLOOKUP(C134,Hoja1!$A$1:$I$82,3,0),"")</f>
        <v/>
      </c>
      <c r="G134" s="128" t="str">
        <f>+IFERROR(VLOOKUP(C134,Hoja1!$A$1:$K$82,11,0),"")</f>
        <v/>
      </c>
      <c r="H134" s="130" t="str">
        <f>+IFERROR(VLOOKUP(C134,Hoja1!$A$1:$L$82,12,0),"")</f>
        <v/>
      </c>
      <c r="I134" s="50"/>
      <c r="J134" s="79">
        <v>120</v>
      </c>
      <c r="K134" s="78"/>
      <c r="M134" s="76"/>
      <c r="N134" s="54"/>
      <c r="O134" s="54"/>
      <c r="P134" s="54"/>
      <c r="Q134" s="54"/>
      <c r="R134" s="54"/>
      <c r="S134" s="54"/>
    </row>
    <row r="135" spans="2:19" s="46" customFormat="1" ht="99.75" customHeight="1" x14ac:dyDescent="0.2">
      <c r="B135" s="131">
        <f t="shared" si="2"/>
        <v>121</v>
      </c>
      <c r="C135" s="128" t="str">
        <f>+IFERROR(INDEX(Hoja1!$A$2:$A$82,MATCH(J135,Hoja1!$H$2:$H$82,0)),"")</f>
        <v/>
      </c>
      <c r="D135" s="129" t="str">
        <f>IFERROR(VLOOKUP(C135,Hoja1!$A$2:$H$82,4,0),"")</f>
        <v/>
      </c>
      <c r="E135" s="129" t="str">
        <f>+IFERROR(VLOOKUP(C135,Hoja1!$A$1:$J$82,10,0),"")</f>
        <v/>
      </c>
      <c r="F135" s="129" t="str">
        <f>+IFERROR(VLOOKUP(C135,Hoja1!$A$1:$I$82,3,0),"")</f>
        <v/>
      </c>
      <c r="G135" s="128" t="str">
        <f>+IFERROR(VLOOKUP(C135,Hoja1!$A$1:$K$82,11,0),"")</f>
        <v/>
      </c>
      <c r="H135" s="130" t="str">
        <f>+IFERROR(VLOOKUP(C135,Hoja1!$A$1:$L$82,12,0),"")</f>
        <v/>
      </c>
      <c r="I135" s="50"/>
      <c r="J135" s="79">
        <v>121</v>
      </c>
      <c r="K135" s="78"/>
      <c r="M135" s="76"/>
      <c r="N135" s="54"/>
      <c r="O135" s="54"/>
      <c r="P135" s="54"/>
      <c r="Q135" s="54"/>
      <c r="R135" s="54"/>
      <c r="S135" s="54"/>
    </row>
    <row r="136" spans="2:19" s="46" customFormat="1" ht="99.75" customHeight="1" x14ac:dyDescent="0.2">
      <c r="B136" s="127">
        <f t="shared" si="2"/>
        <v>122</v>
      </c>
      <c r="C136" s="128" t="str">
        <f>+IFERROR(INDEX(Hoja1!$A$2:$A$82,MATCH(J136,Hoja1!$H$2:$H$82,0)),"")</f>
        <v/>
      </c>
      <c r="D136" s="129" t="str">
        <f>IFERROR(VLOOKUP(C136,Hoja1!$A$2:$H$82,4,0),"")</f>
        <v/>
      </c>
      <c r="E136" s="129" t="str">
        <f>+IFERROR(VLOOKUP(C136,Hoja1!$A$1:$J$82,10,0),"")</f>
        <v/>
      </c>
      <c r="F136" s="129" t="str">
        <f>+IFERROR(VLOOKUP(C136,Hoja1!$A$1:$I$82,3,0),"")</f>
        <v/>
      </c>
      <c r="G136" s="128" t="str">
        <f>+IFERROR(VLOOKUP(C136,Hoja1!$A$1:$K$82,11,0),"")</f>
        <v/>
      </c>
      <c r="H136" s="130" t="str">
        <f>+IFERROR(VLOOKUP(C136,Hoja1!$A$1:$L$82,12,0),"")</f>
        <v/>
      </c>
      <c r="I136" s="50"/>
      <c r="J136" s="79">
        <v>122</v>
      </c>
      <c r="K136" s="78"/>
      <c r="M136" s="76"/>
      <c r="N136" s="54"/>
      <c r="O136" s="54"/>
      <c r="P136" s="54"/>
      <c r="Q136" s="54"/>
      <c r="R136" s="54"/>
      <c r="S136" s="54"/>
    </row>
    <row r="137" spans="2:19" s="46" customFormat="1" ht="99.75" customHeight="1" x14ac:dyDescent="0.2">
      <c r="B137" s="127">
        <f t="shared" si="2"/>
        <v>123</v>
      </c>
      <c r="C137" s="128" t="str">
        <f>+IFERROR(INDEX(Hoja1!$A$2:$A$82,MATCH(J137,Hoja1!$H$2:$H$82,0)),"")</f>
        <v/>
      </c>
      <c r="D137" s="129" t="str">
        <f>IFERROR(VLOOKUP(C137,Hoja1!$A$2:$H$82,4,0),"")</f>
        <v/>
      </c>
      <c r="E137" s="129" t="str">
        <f>+IFERROR(VLOOKUP(C137,Hoja1!$A$1:$J$82,10,0),"")</f>
        <v/>
      </c>
      <c r="F137" s="129" t="str">
        <f>+IFERROR(VLOOKUP(C137,Hoja1!$A$1:$I$82,3,0),"")</f>
        <v/>
      </c>
      <c r="G137" s="128" t="str">
        <f>+IFERROR(VLOOKUP(C137,Hoja1!$A$1:$K$82,11,0),"")</f>
        <v/>
      </c>
      <c r="H137" s="130" t="str">
        <f>+IFERROR(VLOOKUP(C137,Hoja1!$A$1:$L$82,12,0),"")</f>
        <v/>
      </c>
      <c r="I137" s="50"/>
      <c r="J137" s="79">
        <v>123</v>
      </c>
      <c r="K137" s="78"/>
      <c r="M137" s="76"/>
      <c r="N137" s="54"/>
      <c r="O137" s="54"/>
      <c r="P137" s="54"/>
      <c r="Q137" s="54"/>
      <c r="R137" s="54"/>
      <c r="S137" s="54"/>
    </row>
    <row r="138" spans="2:19" s="46" customFormat="1" ht="99.75" customHeight="1" x14ac:dyDescent="0.2">
      <c r="B138" s="127">
        <f t="shared" si="2"/>
        <v>124</v>
      </c>
      <c r="C138" s="128" t="str">
        <f>+IFERROR(INDEX(Hoja1!$A$2:$A$82,MATCH(J138,Hoja1!$H$2:$H$82,0)),"")</f>
        <v/>
      </c>
      <c r="D138" s="129" t="str">
        <f>IFERROR(VLOOKUP(C138,Hoja1!$A$2:$H$82,4,0),"")</f>
        <v/>
      </c>
      <c r="E138" s="129" t="str">
        <f>+IFERROR(VLOOKUP(C138,Hoja1!$A$1:$J$82,10,0),"")</f>
        <v/>
      </c>
      <c r="F138" s="129" t="str">
        <f>+IFERROR(VLOOKUP(C138,Hoja1!$A$1:$I$82,3,0),"")</f>
        <v/>
      </c>
      <c r="G138" s="128" t="str">
        <f>+IFERROR(VLOOKUP(C138,Hoja1!$A$1:$K$82,11,0),"")</f>
        <v/>
      </c>
      <c r="H138" s="130" t="str">
        <f>+IFERROR(VLOOKUP(C138,Hoja1!$A$1:$L$82,12,0),"")</f>
        <v/>
      </c>
      <c r="I138" s="50"/>
      <c r="J138" s="79">
        <v>124</v>
      </c>
      <c r="K138" s="78"/>
      <c r="M138" s="76"/>
      <c r="N138" s="54"/>
      <c r="O138" s="54"/>
      <c r="P138" s="54"/>
      <c r="Q138" s="54"/>
      <c r="R138" s="54"/>
      <c r="S138" s="54"/>
    </row>
    <row r="139" spans="2:19" s="46" customFormat="1" ht="99.75" customHeight="1" x14ac:dyDescent="0.2">
      <c r="B139" s="127">
        <f t="shared" si="2"/>
        <v>125</v>
      </c>
      <c r="C139" s="128" t="str">
        <f>+IFERROR(INDEX(Hoja1!$A$2:$A$82,MATCH(J139,Hoja1!$H$2:$H$82,0)),"")</f>
        <v/>
      </c>
      <c r="D139" s="129" t="str">
        <f>IFERROR(VLOOKUP(C139,Hoja1!$A$2:$H$82,4,0),"")</f>
        <v/>
      </c>
      <c r="E139" s="129" t="str">
        <f>+IFERROR(VLOOKUP(C139,Hoja1!$A$1:$J$82,10,0),"")</f>
        <v/>
      </c>
      <c r="F139" s="129" t="str">
        <f>+IFERROR(VLOOKUP(C139,Hoja1!$A$1:$I$82,3,0),"")</f>
        <v/>
      </c>
      <c r="G139" s="128" t="str">
        <f>+IFERROR(VLOOKUP(C139,Hoja1!$A$1:$K$82,11,0),"")</f>
        <v/>
      </c>
      <c r="H139" s="130" t="str">
        <f>+IFERROR(VLOOKUP(C139,Hoja1!$A$1:$L$82,12,0),"")</f>
        <v/>
      </c>
      <c r="I139" s="50"/>
      <c r="J139" s="79">
        <v>125</v>
      </c>
      <c r="K139" s="78"/>
      <c r="M139" s="76"/>
      <c r="N139" s="54"/>
      <c r="O139" s="54"/>
      <c r="P139" s="54"/>
      <c r="Q139" s="54"/>
      <c r="R139" s="54"/>
      <c r="S139" s="54"/>
    </row>
    <row r="140" spans="2:19" s="46" customFormat="1" ht="99.75" customHeight="1" x14ac:dyDescent="0.2">
      <c r="B140" s="131">
        <f t="shared" si="2"/>
        <v>126</v>
      </c>
      <c r="C140" s="128" t="str">
        <f>+IFERROR(INDEX(Hoja1!$A$2:$A$82,MATCH(J140,Hoja1!$H$2:$H$82,0)),"")</f>
        <v/>
      </c>
      <c r="D140" s="129" t="str">
        <f>IFERROR(VLOOKUP(C140,Hoja1!$A$2:$H$82,4,0),"")</f>
        <v/>
      </c>
      <c r="E140" s="129" t="str">
        <f>+IFERROR(VLOOKUP(C140,Hoja1!$A$1:$J$82,10,0),"")</f>
        <v/>
      </c>
      <c r="F140" s="129" t="str">
        <f>+IFERROR(VLOOKUP(C140,Hoja1!$A$1:$I$82,3,0),"")</f>
        <v/>
      </c>
      <c r="G140" s="128" t="str">
        <f>+IFERROR(VLOOKUP(C140,Hoja1!$A$1:$K$82,11,0),"")</f>
        <v/>
      </c>
      <c r="H140" s="130" t="str">
        <f>+IFERROR(VLOOKUP(C140,Hoja1!$A$1:$L$82,12,0),"")</f>
        <v/>
      </c>
      <c r="I140" s="50"/>
      <c r="J140" s="79">
        <v>126</v>
      </c>
      <c r="K140" s="78"/>
      <c r="M140" s="76"/>
      <c r="N140" s="54"/>
      <c r="O140" s="54"/>
      <c r="P140" s="54"/>
      <c r="Q140" s="54"/>
      <c r="R140" s="54"/>
      <c r="S140" s="54"/>
    </row>
    <row r="141" spans="2:19" s="46" customFormat="1" ht="99.75" customHeight="1" x14ac:dyDescent="0.2">
      <c r="B141" s="127">
        <f t="shared" si="2"/>
        <v>127</v>
      </c>
      <c r="C141" s="128" t="str">
        <f>+IFERROR(INDEX(Hoja1!$A$2:$A$82,MATCH(J141,Hoja1!$H$2:$H$82,0)),"")</f>
        <v/>
      </c>
      <c r="D141" s="129" t="str">
        <f>IFERROR(VLOOKUP(C141,Hoja1!$A$2:$H$82,4,0),"")</f>
        <v/>
      </c>
      <c r="E141" s="129" t="str">
        <f>+IFERROR(VLOOKUP(C141,Hoja1!$A$1:$J$82,10,0),"")</f>
        <v/>
      </c>
      <c r="F141" s="129" t="str">
        <f>+IFERROR(VLOOKUP(C141,Hoja1!$A$1:$I$82,3,0),"")</f>
        <v/>
      </c>
      <c r="G141" s="128" t="str">
        <f>+IFERROR(VLOOKUP(C141,Hoja1!$A$1:$K$82,11,0),"")</f>
        <v/>
      </c>
      <c r="H141" s="130" t="str">
        <f>+IFERROR(VLOOKUP(C141,Hoja1!$A$1:$L$82,12,0),"")</f>
        <v/>
      </c>
      <c r="I141" s="50"/>
      <c r="J141" s="79">
        <v>127</v>
      </c>
      <c r="K141" s="78"/>
      <c r="M141" s="76"/>
      <c r="N141" s="54"/>
      <c r="O141" s="54"/>
      <c r="P141" s="54"/>
      <c r="Q141" s="54"/>
      <c r="R141" s="54"/>
      <c r="S141" s="54"/>
    </row>
    <row r="142" spans="2:19" s="46" customFormat="1" ht="99.75" customHeight="1" x14ac:dyDescent="0.2">
      <c r="B142" s="127">
        <f t="shared" si="2"/>
        <v>128</v>
      </c>
      <c r="C142" s="128" t="str">
        <f>+IFERROR(INDEX(Hoja1!$A$2:$A$82,MATCH(J142,Hoja1!$H$2:$H$82,0)),"")</f>
        <v/>
      </c>
      <c r="D142" s="129" t="str">
        <f>IFERROR(VLOOKUP(C142,Hoja1!$A$2:$H$82,4,0),"")</f>
        <v/>
      </c>
      <c r="E142" s="129" t="str">
        <f>+IFERROR(VLOOKUP(C142,Hoja1!$A$1:$J$82,10,0),"")</f>
        <v/>
      </c>
      <c r="F142" s="129" t="str">
        <f>+IFERROR(VLOOKUP(C142,Hoja1!$A$1:$I$82,3,0),"")</f>
        <v/>
      </c>
      <c r="G142" s="128" t="str">
        <f>+IFERROR(VLOOKUP(C142,Hoja1!$A$1:$K$82,11,0),"")</f>
        <v/>
      </c>
      <c r="H142" s="130" t="str">
        <f>+IFERROR(VLOOKUP(C142,Hoja1!$A$1:$L$82,12,0),"")</f>
        <v/>
      </c>
      <c r="I142" s="50"/>
      <c r="J142" s="79">
        <v>128</v>
      </c>
      <c r="K142" s="78"/>
      <c r="M142" s="76"/>
      <c r="N142" s="54"/>
      <c r="O142" s="54"/>
      <c r="P142" s="54"/>
      <c r="Q142" s="54"/>
      <c r="R142" s="54"/>
      <c r="S142" s="54"/>
    </row>
    <row r="143" spans="2:19" s="46" customFormat="1" ht="99.75" customHeight="1" x14ac:dyDescent="0.2">
      <c r="B143" s="127">
        <f t="shared" si="2"/>
        <v>129</v>
      </c>
      <c r="C143" s="128" t="str">
        <f>+IFERROR(INDEX(Hoja1!$A$2:$A$82,MATCH(J143,Hoja1!$H$2:$H$82,0)),"")</f>
        <v/>
      </c>
      <c r="D143" s="129" t="str">
        <f>IFERROR(VLOOKUP(C143,Hoja1!$A$2:$H$82,4,0),"")</f>
        <v/>
      </c>
      <c r="E143" s="129" t="str">
        <f>+IFERROR(VLOOKUP(C143,Hoja1!$A$1:$J$82,10,0),"")</f>
        <v/>
      </c>
      <c r="F143" s="129" t="str">
        <f>+IFERROR(VLOOKUP(C143,Hoja1!$A$1:$I$82,3,0),"")</f>
        <v/>
      </c>
      <c r="G143" s="128" t="str">
        <f>+IFERROR(VLOOKUP(C143,Hoja1!$A$1:$K$82,11,0),"")</f>
        <v/>
      </c>
      <c r="H143" s="130" t="str">
        <f>+IFERROR(VLOOKUP(C143,Hoja1!$A$1:$L$82,12,0),"")</f>
        <v/>
      </c>
      <c r="I143" s="50"/>
      <c r="J143" s="79">
        <v>129</v>
      </c>
      <c r="K143" s="78"/>
      <c r="M143" s="76"/>
      <c r="N143" s="54"/>
      <c r="O143" s="54"/>
      <c r="P143" s="54"/>
      <c r="Q143" s="54"/>
      <c r="R143" s="54"/>
      <c r="S143" s="54"/>
    </row>
    <row r="144" spans="2:19" s="46" customFormat="1" ht="99.75" customHeight="1" x14ac:dyDescent="0.2">
      <c r="B144" s="127">
        <f t="shared" ref="B144:B164" si="4">+IF(ISTEXT(D144),J144,"")</f>
        <v>130</v>
      </c>
      <c r="C144" s="128" t="str">
        <f>+IFERROR(INDEX(Hoja1!$A$2:$A$82,MATCH(J144,Hoja1!$H$2:$H$82,0)),"")</f>
        <v/>
      </c>
      <c r="D144" s="129" t="str">
        <f>IFERROR(VLOOKUP(C144,Hoja1!$A$2:$H$82,4,0),"")</f>
        <v/>
      </c>
      <c r="E144" s="129" t="str">
        <f>+IFERROR(VLOOKUP(C144,Hoja1!$A$1:$J$82,10,0),"")</f>
        <v/>
      </c>
      <c r="F144" s="129" t="str">
        <f>+IFERROR(VLOOKUP(C144,Hoja1!$A$1:$I$82,3,0),"")</f>
        <v/>
      </c>
      <c r="G144" s="128" t="str">
        <f>+IFERROR(VLOOKUP(C144,Hoja1!$A$1:$K$82,11,0),"")</f>
        <v/>
      </c>
      <c r="H144" s="130" t="str">
        <f>+IFERROR(VLOOKUP(C144,Hoja1!$A$1:$L$82,12,0),"")</f>
        <v/>
      </c>
      <c r="I144" s="50"/>
      <c r="J144" s="79">
        <v>130</v>
      </c>
      <c r="K144" s="78"/>
      <c r="M144" s="76"/>
      <c r="N144" s="54"/>
      <c r="O144" s="54"/>
      <c r="P144" s="54"/>
      <c r="Q144" s="54"/>
      <c r="R144" s="54"/>
      <c r="S144" s="54"/>
    </row>
    <row r="145" spans="2:19" s="46" customFormat="1" ht="99.75" customHeight="1" x14ac:dyDescent="0.2">
      <c r="B145" s="131">
        <f t="shared" si="4"/>
        <v>131</v>
      </c>
      <c r="C145" s="128" t="str">
        <f>+IFERROR(INDEX(Hoja1!$A$2:$A$82,MATCH(J145,Hoja1!$H$2:$H$82,0)),"")</f>
        <v/>
      </c>
      <c r="D145" s="129" t="str">
        <f>IFERROR(VLOOKUP(C145,Hoja1!$A$2:$H$82,4,0),"")</f>
        <v/>
      </c>
      <c r="E145" s="129" t="str">
        <f>+IFERROR(VLOOKUP(C145,Hoja1!$A$1:$J$82,10,0),"")</f>
        <v/>
      </c>
      <c r="F145" s="129" t="str">
        <f>+IFERROR(VLOOKUP(C145,Hoja1!$A$1:$I$82,3,0),"")</f>
        <v/>
      </c>
      <c r="G145" s="128" t="str">
        <f>+IFERROR(VLOOKUP(C145,Hoja1!$A$1:$K$82,11,0),"")</f>
        <v/>
      </c>
      <c r="H145" s="130" t="str">
        <f>+IFERROR(VLOOKUP(C145,Hoja1!$A$1:$L$82,12,0),"")</f>
        <v/>
      </c>
      <c r="I145" s="50"/>
      <c r="J145" s="79">
        <v>131</v>
      </c>
      <c r="K145" s="78"/>
      <c r="M145" s="76"/>
      <c r="N145" s="54"/>
      <c r="O145" s="54"/>
      <c r="P145" s="54"/>
      <c r="Q145" s="54"/>
      <c r="R145" s="54"/>
      <c r="S145" s="54"/>
    </row>
    <row r="146" spans="2:19" s="46" customFormat="1" ht="99.75" customHeight="1" x14ac:dyDescent="0.2">
      <c r="B146" s="127">
        <f t="shared" si="4"/>
        <v>132</v>
      </c>
      <c r="C146" s="128" t="str">
        <f>+IFERROR(INDEX(Hoja1!$A$2:$A$82,MATCH(J146,Hoja1!$H$2:$H$82,0)),"")</f>
        <v/>
      </c>
      <c r="D146" s="129" t="str">
        <f>IFERROR(VLOOKUP(C146,Hoja1!$A$2:$H$82,4,0),"")</f>
        <v/>
      </c>
      <c r="E146" s="129" t="str">
        <f>+IFERROR(VLOOKUP(C146,Hoja1!$A$1:$J$82,10,0),"")</f>
        <v/>
      </c>
      <c r="F146" s="129" t="str">
        <f>+IFERROR(VLOOKUP(C146,Hoja1!$A$1:$I$82,3,0),"")</f>
        <v/>
      </c>
      <c r="G146" s="128" t="str">
        <f>+IFERROR(VLOOKUP(C146,Hoja1!$A$1:$K$82,11,0),"")</f>
        <v/>
      </c>
      <c r="H146" s="130" t="str">
        <f>+IFERROR(VLOOKUP(C146,Hoja1!$A$1:$L$82,12,0),"")</f>
        <v/>
      </c>
      <c r="I146" s="50"/>
      <c r="J146" s="79">
        <v>132</v>
      </c>
      <c r="K146" s="78"/>
      <c r="M146" s="76"/>
      <c r="N146" s="54"/>
      <c r="O146" s="54"/>
      <c r="P146" s="54"/>
      <c r="Q146" s="54"/>
      <c r="R146" s="54"/>
      <c r="S146" s="54"/>
    </row>
    <row r="147" spans="2:19" s="46" customFormat="1" ht="99.75" customHeight="1" x14ac:dyDescent="0.2">
      <c r="B147" s="127">
        <f t="shared" si="4"/>
        <v>133</v>
      </c>
      <c r="C147" s="128" t="str">
        <f>+IFERROR(INDEX(Hoja1!$A$2:$A$82,MATCH(J147,Hoja1!$H$2:$H$82,0)),"")</f>
        <v/>
      </c>
      <c r="D147" s="129" t="str">
        <f>IFERROR(VLOOKUP(C147,Hoja1!$A$2:$H$82,4,0),"")</f>
        <v/>
      </c>
      <c r="E147" s="129" t="str">
        <f>+IFERROR(VLOOKUP(C147,Hoja1!$A$1:$J$82,10,0),"")</f>
        <v/>
      </c>
      <c r="F147" s="129" t="str">
        <f>+IFERROR(VLOOKUP(C147,Hoja1!$A$1:$I$82,3,0),"")</f>
        <v/>
      </c>
      <c r="G147" s="128" t="str">
        <f>+IFERROR(VLOOKUP(C147,Hoja1!$A$1:$K$82,11,0),"")</f>
        <v/>
      </c>
      <c r="H147" s="130" t="str">
        <f>+IFERROR(VLOOKUP(C147,Hoja1!$A$1:$L$82,12,0),"")</f>
        <v/>
      </c>
      <c r="I147" s="50"/>
      <c r="J147" s="79">
        <v>133</v>
      </c>
      <c r="K147" s="78"/>
      <c r="M147" s="76"/>
      <c r="N147" s="54"/>
      <c r="O147" s="54"/>
      <c r="P147" s="54"/>
      <c r="Q147" s="54"/>
      <c r="R147" s="54"/>
      <c r="S147" s="54"/>
    </row>
    <row r="148" spans="2:19" s="46" customFormat="1" ht="99.75" customHeight="1" x14ac:dyDescent="0.2">
      <c r="B148" s="127">
        <f t="shared" si="4"/>
        <v>134</v>
      </c>
      <c r="C148" s="128" t="str">
        <f>+IFERROR(INDEX(Hoja1!$A$2:$A$82,MATCH(J148,Hoja1!$H$2:$H$82,0)),"")</f>
        <v/>
      </c>
      <c r="D148" s="129" t="str">
        <f>IFERROR(VLOOKUP(C148,Hoja1!$A$2:$H$82,4,0),"")</f>
        <v/>
      </c>
      <c r="E148" s="129" t="str">
        <f>+IFERROR(VLOOKUP(C148,Hoja1!$A$1:$J$82,10,0),"")</f>
        <v/>
      </c>
      <c r="F148" s="129" t="str">
        <f>+IFERROR(VLOOKUP(C148,Hoja1!$A$1:$I$82,3,0),"")</f>
        <v/>
      </c>
      <c r="G148" s="128" t="str">
        <f>+IFERROR(VLOOKUP(C148,Hoja1!$A$1:$K$82,11,0),"")</f>
        <v/>
      </c>
      <c r="H148" s="130" t="str">
        <f>+IFERROR(VLOOKUP(C148,Hoja1!$A$1:$L$82,12,0),"")</f>
        <v/>
      </c>
      <c r="I148" s="50"/>
      <c r="J148" s="79">
        <v>134</v>
      </c>
      <c r="K148" s="78"/>
      <c r="M148" s="76"/>
      <c r="N148" s="54"/>
      <c r="O148" s="54"/>
      <c r="P148" s="54"/>
      <c r="Q148" s="54"/>
      <c r="R148" s="54"/>
      <c r="S148" s="54"/>
    </row>
    <row r="149" spans="2:19" s="46" customFormat="1" ht="99.75" customHeight="1" x14ac:dyDescent="0.2">
      <c r="B149" s="127">
        <f t="shared" si="4"/>
        <v>135</v>
      </c>
      <c r="C149" s="128" t="str">
        <f>+IFERROR(INDEX(Hoja1!$A$2:$A$82,MATCH(J149,Hoja1!$H$2:$H$82,0)),"")</f>
        <v/>
      </c>
      <c r="D149" s="129" t="str">
        <f>IFERROR(VLOOKUP(C149,Hoja1!$A$2:$H$82,4,0),"")</f>
        <v/>
      </c>
      <c r="E149" s="129" t="str">
        <f>+IFERROR(VLOOKUP(C149,Hoja1!$A$1:$J$82,10,0),"")</f>
        <v/>
      </c>
      <c r="F149" s="129" t="str">
        <f>+IFERROR(VLOOKUP(C149,Hoja1!$A$1:$I$82,3,0),"")</f>
        <v/>
      </c>
      <c r="G149" s="128" t="str">
        <f>+IFERROR(VLOOKUP(C149,Hoja1!$A$1:$K$82,11,0),"")</f>
        <v/>
      </c>
      <c r="H149" s="130" t="str">
        <f>+IFERROR(VLOOKUP(C149,Hoja1!$A$1:$L$82,12,0),"")</f>
        <v/>
      </c>
      <c r="I149" s="50"/>
      <c r="J149" s="79">
        <v>135</v>
      </c>
      <c r="K149" s="78"/>
      <c r="M149" s="76"/>
      <c r="N149" s="54"/>
      <c r="O149" s="54"/>
      <c r="P149" s="54"/>
      <c r="Q149" s="54"/>
      <c r="R149" s="54"/>
      <c r="S149" s="54"/>
    </row>
    <row r="150" spans="2:19" s="46" customFormat="1" ht="99.75" customHeight="1" x14ac:dyDescent="0.2">
      <c r="B150" s="131">
        <f t="shared" si="4"/>
        <v>136</v>
      </c>
      <c r="C150" s="128" t="str">
        <f>+IFERROR(INDEX(Hoja1!$A$2:$A$82,MATCH(J150,Hoja1!$H$2:$H$82,0)),"")</f>
        <v/>
      </c>
      <c r="D150" s="129" t="str">
        <f>IFERROR(VLOOKUP(C150,Hoja1!$A$2:$H$82,4,0),"")</f>
        <v/>
      </c>
      <c r="E150" s="129" t="str">
        <f>+IFERROR(VLOOKUP(C150,Hoja1!$A$1:$J$82,10,0),"")</f>
        <v/>
      </c>
      <c r="F150" s="129" t="str">
        <f>+IFERROR(VLOOKUP(C150,Hoja1!$A$1:$I$82,3,0),"")</f>
        <v/>
      </c>
      <c r="G150" s="128" t="str">
        <f>+IFERROR(VLOOKUP(C150,Hoja1!$A$1:$K$82,11,0),"")</f>
        <v/>
      </c>
      <c r="H150" s="130" t="str">
        <f>+IFERROR(VLOOKUP(C150,Hoja1!$A$1:$L$82,12,0),"")</f>
        <v/>
      </c>
      <c r="I150" s="50"/>
      <c r="J150" s="79">
        <v>136</v>
      </c>
      <c r="K150" s="78"/>
      <c r="M150" s="76"/>
      <c r="N150" s="54"/>
      <c r="O150" s="54"/>
      <c r="P150" s="54"/>
      <c r="Q150" s="54"/>
      <c r="R150" s="54"/>
      <c r="S150" s="54"/>
    </row>
    <row r="151" spans="2:19" s="46" customFormat="1" ht="99.75" customHeight="1" x14ac:dyDescent="0.2">
      <c r="B151" s="127">
        <f t="shared" si="4"/>
        <v>137</v>
      </c>
      <c r="C151" s="128" t="str">
        <f>+IFERROR(INDEX(Hoja1!$A$2:$A$82,MATCH(J151,Hoja1!$H$2:$H$82,0)),"")</f>
        <v/>
      </c>
      <c r="D151" s="129" t="str">
        <f>IFERROR(VLOOKUP(C151,Hoja1!$A$2:$H$82,4,0),"")</f>
        <v/>
      </c>
      <c r="E151" s="129" t="str">
        <f>+IFERROR(VLOOKUP(C151,Hoja1!$A$1:$J$82,10,0),"")</f>
        <v/>
      </c>
      <c r="F151" s="129" t="str">
        <f>+IFERROR(VLOOKUP(C151,Hoja1!$A$1:$I$82,3,0),"")</f>
        <v/>
      </c>
      <c r="G151" s="128" t="str">
        <f>+IFERROR(VLOOKUP(C151,Hoja1!$A$1:$K$82,11,0),"")</f>
        <v/>
      </c>
      <c r="H151" s="130" t="str">
        <f>+IFERROR(VLOOKUP(C151,Hoja1!$A$1:$L$82,12,0),"")</f>
        <v/>
      </c>
      <c r="I151" s="50"/>
      <c r="J151" s="79">
        <v>137</v>
      </c>
      <c r="K151" s="78"/>
      <c r="M151" s="76"/>
      <c r="N151" s="54"/>
      <c r="O151" s="54"/>
      <c r="P151" s="54"/>
      <c r="Q151" s="54"/>
      <c r="R151" s="54"/>
      <c r="S151" s="54"/>
    </row>
    <row r="152" spans="2:19" s="46" customFormat="1" ht="99.75" customHeight="1" x14ac:dyDescent="0.2">
      <c r="B152" s="127">
        <f t="shared" si="4"/>
        <v>138</v>
      </c>
      <c r="C152" s="128" t="str">
        <f>+IFERROR(INDEX(Hoja1!$A$2:$A$82,MATCH(J152,Hoja1!$H$2:$H$82,0)),"")</f>
        <v/>
      </c>
      <c r="D152" s="129" t="str">
        <f>IFERROR(VLOOKUP(C152,Hoja1!$A$2:$H$82,4,0),"")</f>
        <v/>
      </c>
      <c r="E152" s="129" t="str">
        <f>+IFERROR(VLOOKUP(C152,Hoja1!$A$1:$J$82,10,0),"")</f>
        <v/>
      </c>
      <c r="F152" s="129" t="str">
        <f>+IFERROR(VLOOKUP(C152,Hoja1!$A$1:$I$82,3,0),"")</f>
        <v/>
      </c>
      <c r="G152" s="128" t="str">
        <f>+IFERROR(VLOOKUP(C152,Hoja1!$A$1:$K$82,11,0),"")</f>
        <v/>
      </c>
      <c r="H152" s="130" t="str">
        <f>+IFERROR(VLOOKUP(C152,Hoja1!$A$1:$L$82,12,0),"")</f>
        <v/>
      </c>
      <c r="I152" s="50"/>
      <c r="J152" s="79">
        <v>138</v>
      </c>
      <c r="K152" s="78"/>
      <c r="M152" s="76"/>
      <c r="N152" s="54"/>
      <c r="O152" s="54"/>
      <c r="P152" s="54"/>
      <c r="Q152" s="54"/>
      <c r="R152" s="54"/>
      <c r="S152" s="54"/>
    </row>
    <row r="153" spans="2:19" s="46" customFormat="1" ht="99.75" customHeight="1" x14ac:dyDescent="0.2">
      <c r="B153" s="127">
        <f t="shared" si="4"/>
        <v>139</v>
      </c>
      <c r="C153" s="128" t="str">
        <f>+IFERROR(INDEX(Hoja1!$A$2:$A$82,MATCH(J153,Hoja1!$H$2:$H$82,0)),"")</f>
        <v/>
      </c>
      <c r="D153" s="129" t="str">
        <f>IFERROR(VLOOKUP(C153,Hoja1!$A$2:$H$82,4,0),"")</f>
        <v/>
      </c>
      <c r="E153" s="129" t="str">
        <f>+IFERROR(VLOOKUP(C153,Hoja1!$A$1:$J$82,10,0),"")</f>
        <v/>
      </c>
      <c r="F153" s="129" t="str">
        <f>+IFERROR(VLOOKUP(C153,Hoja1!$A$1:$I$82,3,0),"")</f>
        <v/>
      </c>
      <c r="G153" s="128" t="str">
        <f>+IFERROR(VLOOKUP(C153,Hoja1!$A$1:$K$82,11,0),"")</f>
        <v/>
      </c>
      <c r="H153" s="130" t="str">
        <f>+IFERROR(VLOOKUP(C153,Hoja1!$A$1:$L$82,12,0),"")</f>
        <v/>
      </c>
      <c r="I153" s="50"/>
      <c r="J153" s="79">
        <v>139</v>
      </c>
      <c r="K153" s="78"/>
      <c r="M153" s="76"/>
      <c r="N153" s="54"/>
      <c r="O153" s="54"/>
      <c r="P153" s="54"/>
      <c r="Q153" s="54"/>
      <c r="R153" s="54"/>
      <c r="S153" s="54"/>
    </row>
    <row r="154" spans="2:19" s="46" customFormat="1" ht="99.75" customHeight="1" x14ac:dyDescent="0.2">
      <c r="B154" s="127">
        <f t="shared" si="4"/>
        <v>140</v>
      </c>
      <c r="C154" s="128" t="str">
        <f>+IFERROR(INDEX(Hoja1!$A$2:$A$82,MATCH(J154,Hoja1!$H$2:$H$82,0)),"")</f>
        <v/>
      </c>
      <c r="D154" s="129" t="str">
        <f>IFERROR(VLOOKUP(C154,Hoja1!$A$2:$H$82,4,0),"")</f>
        <v/>
      </c>
      <c r="E154" s="129" t="str">
        <f>+IFERROR(VLOOKUP(C154,Hoja1!$A$1:$J$82,10,0),"")</f>
        <v/>
      </c>
      <c r="F154" s="129" t="str">
        <f>+IFERROR(VLOOKUP(C154,Hoja1!$A$1:$I$82,3,0),"")</f>
        <v/>
      </c>
      <c r="G154" s="128" t="str">
        <f>+IFERROR(VLOOKUP(C154,Hoja1!$A$1:$K$82,11,0),"")</f>
        <v/>
      </c>
      <c r="H154" s="130" t="str">
        <f>+IFERROR(VLOOKUP(C154,Hoja1!$A$1:$L$82,12,0),"")</f>
        <v/>
      </c>
      <c r="I154" s="50"/>
      <c r="J154" s="79">
        <v>140</v>
      </c>
      <c r="K154" s="78"/>
      <c r="M154" s="76"/>
      <c r="N154" s="54"/>
      <c r="O154" s="54"/>
      <c r="P154" s="54"/>
      <c r="Q154" s="54"/>
      <c r="R154" s="54"/>
      <c r="S154" s="54"/>
    </row>
    <row r="155" spans="2:19" s="46" customFormat="1" ht="99.75" customHeight="1" x14ac:dyDescent="0.2">
      <c r="B155" s="131">
        <f t="shared" si="4"/>
        <v>141</v>
      </c>
      <c r="C155" s="128" t="str">
        <f>+IFERROR(INDEX(Hoja1!$A$2:$A$82,MATCH(J155,Hoja1!$H$2:$H$82,0)),"")</f>
        <v/>
      </c>
      <c r="D155" s="129" t="str">
        <f>IFERROR(VLOOKUP(C155,Hoja1!$A$2:$H$82,4,0),"")</f>
        <v/>
      </c>
      <c r="E155" s="129" t="str">
        <f>+IFERROR(VLOOKUP(C155,Hoja1!$A$1:$J$82,10,0),"")</f>
        <v/>
      </c>
      <c r="F155" s="129" t="str">
        <f>+IFERROR(VLOOKUP(C155,Hoja1!$A$1:$I$82,3,0),"")</f>
        <v/>
      </c>
      <c r="G155" s="128" t="str">
        <f>+IFERROR(VLOOKUP(C155,Hoja1!$A$1:$K$82,11,0),"")</f>
        <v/>
      </c>
      <c r="H155" s="130" t="str">
        <f>+IFERROR(VLOOKUP(C155,Hoja1!$A$1:$L$82,12,0),"")</f>
        <v/>
      </c>
      <c r="I155" s="50"/>
      <c r="J155" s="79">
        <v>141</v>
      </c>
      <c r="K155" s="78"/>
      <c r="M155" s="76"/>
      <c r="N155" s="54"/>
      <c r="O155" s="54"/>
      <c r="P155" s="54"/>
      <c r="Q155" s="54"/>
      <c r="R155" s="54"/>
      <c r="S155" s="54"/>
    </row>
    <row r="156" spans="2:19" s="46" customFormat="1" ht="99.75" customHeight="1" x14ac:dyDescent="0.2">
      <c r="B156" s="127">
        <f t="shared" si="4"/>
        <v>142</v>
      </c>
      <c r="C156" s="128" t="str">
        <f>+IFERROR(INDEX(Hoja1!$A$2:$A$82,MATCH(J156,Hoja1!$H$2:$H$82,0)),"")</f>
        <v/>
      </c>
      <c r="D156" s="129" t="str">
        <f>IFERROR(VLOOKUP(C156,Hoja1!$A$2:$H$82,4,0),"")</f>
        <v/>
      </c>
      <c r="E156" s="129" t="str">
        <f>+IFERROR(VLOOKUP(C156,Hoja1!$A$1:$J$82,10,0),"")</f>
        <v/>
      </c>
      <c r="F156" s="129" t="str">
        <f>+IFERROR(VLOOKUP(C156,Hoja1!$A$1:$I$82,3,0),"")</f>
        <v/>
      </c>
      <c r="G156" s="128" t="str">
        <f>+IFERROR(VLOOKUP(C156,Hoja1!$A$1:$K$82,11,0),"")</f>
        <v/>
      </c>
      <c r="H156" s="130" t="str">
        <f>+IFERROR(VLOOKUP(C156,Hoja1!$A$1:$L$82,12,0),"")</f>
        <v/>
      </c>
      <c r="I156" s="50"/>
      <c r="J156" s="79">
        <v>142</v>
      </c>
      <c r="K156" s="78"/>
      <c r="M156" s="76"/>
      <c r="N156" s="54"/>
      <c r="O156" s="54"/>
      <c r="P156" s="54"/>
      <c r="Q156" s="54"/>
      <c r="R156" s="54"/>
      <c r="S156" s="54"/>
    </row>
    <row r="157" spans="2:19" s="46" customFormat="1" ht="99.75" customHeight="1" x14ac:dyDescent="0.2">
      <c r="B157" s="127">
        <f t="shared" si="4"/>
        <v>143</v>
      </c>
      <c r="C157" s="128" t="str">
        <f>+IFERROR(INDEX(Hoja1!$A$2:$A$82,MATCH(J157,Hoja1!$H$2:$H$82,0)),"")</f>
        <v/>
      </c>
      <c r="D157" s="129" t="str">
        <f>IFERROR(VLOOKUP(C157,Hoja1!$A$2:$H$82,4,0),"")</f>
        <v/>
      </c>
      <c r="E157" s="129" t="str">
        <f>+IFERROR(VLOOKUP(C157,Hoja1!$A$1:$J$82,10,0),"")</f>
        <v/>
      </c>
      <c r="F157" s="129" t="str">
        <f>+IFERROR(VLOOKUP(C157,Hoja1!$A$1:$I$82,3,0),"")</f>
        <v/>
      </c>
      <c r="G157" s="128" t="str">
        <f>+IFERROR(VLOOKUP(C157,Hoja1!$A$1:$K$82,11,0),"")</f>
        <v/>
      </c>
      <c r="H157" s="130" t="str">
        <f>+IFERROR(VLOOKUP(C157,Hoja1!$A$1:$L$82,12,0),"")</f>
        <v/>
      </c>
      <c r="I157" s="50"/>
      <c r="J157" s="79">
        <v>143</v>
      </c>
      <c r="K157" s="78"/>
      <c r="M157" s="76"/>
      <c r="N157" s="54"/>
      <c r="O157" s="54"/>
      <c r="P157" s="54"/>
      <c r="Q157" s="54"/>
      <c r="R157" s="54"/>
      <c r="S157" s="54"/>
    </row>
    <row r="158" spans="2:19" s="46" customFormat="1" ht="99.75" customHeight="1" x14ac:dyDescent="0.2">
      <c r="B158" s="127">
        <f t="shared" si="4"/>
        <v>144</v>
      </c>
      <c r="C158" s="128" t="str">
        <f>+IFERROR(INDEX(Hoja1!$A$2:$A$82,MATCH(J158,Hoja1!$H$2:$H$82,0)),"")</f>
        <v/>
      </c>
      <c r="D158" s="129" t="str">
        <f>IFERROR(VLOOKUP(C158,Hoja1!$A$2:$H$82,4,0),"")</f>
        <v/>
      </c>
      <c r="E158" s="129" t="str">
        <f>+IFERROR(VLOOKUP(C158,Hoja1!$A$1:$J$82,10,0),"")</f>
        <v/>
      </c>
      <c r="F158" s="129" t="str">
        <f>+IFERROR(VLOOKUP(C158,Hoja1!$A$1:$I$82,3,0),"")</f>
        <v/>
      </c>
      <c r="G158" s="128" t="str">
        <f>+IFERROR(VLOOKUP(C158,Hoja1!$A$1:$K$82,11,0),"")</f>
        <v/>
      </c>
      <c r="H158" s="130" t="str">
        <f>+IFERROR(VLOOKUP(C158,Hoja1!$A$1:$L$82,12,0),"")</f>
        <v/>
      </c>
      <c r="I158" s="50"/>
      <c r="J158" s="79">
        <v>144</v>
      </c>
      <c r="K158" s="78"/>
      <c r="M158" s="76"/>
      <c r="N158" s="54"/>
      <c r="O158" s="54"/>
      <c r="P158" s="54"/>
      <c r="Q158" s="54"/>
      <c r="R158" s="54"/>
      <c r="S158" s="54"/>
    </row>
    <row r="159" spans="2:19" s="46" customFormat="1" ht="99.75" customHeight="1" x14ac:dyDescent="0.2">
      <c r="B159" s="127">
        <f t="shared" si="4"/>
        <v>145</v>
      </c>
      <c r="C159" s="128" t="str">
        <f>+IFERROR(INDEX(Hoja1!$A$2:$A$82,MATCH(J159,Hoja1!$H$2:$H$82,0)),"")</f>
        <v/>
      </c>
      <c r="D159" s="129" t="str">
        <f>IFERROR(VLOOKUP(C159,Hoja1!$A$2:$H$82,4,0),"")</f>
        <v/>
      </c>
      <c r="E159" s="129" t="str">
        <f>+IFERROR(VLOOKUP(C159,Hoja1!$A$1:$J$82,10,0),"")</f>
        <v/>
      </c>
      <c r="F159" s="129" t="str">
        <f>+IFERROR(VLOOKUP(C159,Hoja1!$A$1:$I$82,3,0),"")</f>
        <v/>
      </c>
      <c r="G159" s="128" t="str">
        <f>+IFERROR(VLOOKUP(C159,Hoja1!$A$1:$K$82,11,0),"")</f>
        <v/>
      </c>
      <c r="H159" s="130" t="str">
        <f>+IFERROR(VLOOKUP(C159,Hoja1!$A$1:$L$82,12,0),"")</f>
        <v/>
      </c>
      <c r="I159" s="50"/>
      <c r="J159" s="79">
        <v>145</v>
      </c>
      <c r="K159" s="78"/>
      <c r="M159" s="76"/>
      <c r="N159" s="54"/>
      <c r="O159" s="54"/>
      <c r="P159" s="54"/>
      <c r="Q159" s="54"/>
      <c r="R159" s="54"/>
      <c r="S159" s="54"/>
    </row>
    <row r="160" spans="2:19" s="46" customFormat="1" ht="99.75" customHeight="1" x14ac:dyDescent="0.2">
      <c r="B160" s="131">
        <f t="shared" si="4"/>
        <v>146</v>
      </c>
      <c r="C160" s="128" t="str">
        <f>+IFERROR(INDEX(Hoja1!$A$2:$A$82,MATCH(J160,Hoja1!$H$2:$H$82,0)),"")</f>
        <v/>
      </c>
      <c r="D160" s="129" t="str">
        <f>IFERROR(VLOOKUP(C160,Hoja1!$A$2:$H$82,4,0),"")</f>
        <v/>
      </c>
      <c r="E160" s="129" t="str">
        <f>+IFERROR(VLOOKUP(C160,Hoja1!$A$1:$J$82,10,0),"")</f>
        <v/>
      </c>
      <c r="F160" s="129" t="str">
        <f>+IFERROR(VLOOKUP(C160,Hoja1!$A$1:$I$82,3,0),"")</f>
        <v/>
      </c>
      <c r="G160" s="128" t="str">
        <f>+IFERROR(VLOOKUP(C160,Hoja1!$A$1:$K$82,11,0),"")</f>
        <v/>
      </c>
      <c r="H160" s="130" t="str">
        <f>+IFERROR(VLOOKUP(C160,Hoja1!$A$1:$L$82,12,0),"")</f>
        <v/>
      </c>
      <c r="I160" s="50"/>
      <c r="J160" s="79">
        <v>146</v>
      </c>
      <c r="K160" s="78"/>
      <c r="M160" s="76"/>
      <c r="N160" s="54"/>
      <c r="O160" s="54"/>
      <c r="P160" s="54"/>
      <c r="Q160" s="54"/>
      <c r="R160" s="54"/>
      <c r="S160" s="54"/>
    </row>
    <row r="161" spans="2:19" s="46" customFormat="1" ht="99.75" customHeight="1" x14ac:dyDescent="0.2">
      <c r="B161" s="127">
        <f t="shared" si="4"/>
        <v>147</v>
      </c>
      <c r="C161" s="128" t="str">
        <f>+IFERROR(INDEX(Hoja1!$A$2:$A$82,MATCH(J161,Hoja1!$H$2:$H$82,0)),"")</f>
        <v/>
      </c>
      <c r="D161" s="129" t="str">
        <f>IFERROR(VLOOKUP(C161,Hoja1!$A$2:$H$82,4,0),"")</f>
        <v/>
      </c>
      <c r="E161" s="129" t="str">
        <f>+IFERROR(VLOOKUP(C161,Hoja1!$A$1:$J$82,10,0),"")</f>
        <v/>
      </c>
      <c r="F161" s="129" t="str">
        <f>+IFERROR(VLOOKUP(C161,Hoja1!$A$1:$I$82,3,0),"")</f>
        <v/>
      </c>
      <c r="G161" s="128" t="str">
        <f>+IFERROR(VLOOKUP(C161,Hoja1!$A$1:$K$82,11,0),"")</f>
        <v/>
      </c>
      <c r="H161" s="130" t="str">
        <f>+IFERROR(VLOOKUP(C161,Hoja1!$A$1:$L$82,12,0),"")</f>
        <v/>
      </c>
      <c r="I161" s="50"/>
      <c r="J161" s="79">
        <v>147</v>
      </c>
      <c r="K161" s="78"/>
      <c r="M161" s="76"/>
      <c r="N161" s="54"/>
      <c r="O161" s="54"/>
      <c r="P161" s="54"/>
      <c r="Q161" s="54"/>
      <c r="R161" s="54"/>
      <c r="S161" s="54"/>
    </row>
    <row r="162" spans="2:19" s="46" customFormat="1" ht="99.75" customHeight="1" x14ac:dyDescent="0.2">
      <c r="B162" s="127">
        <f t="shared" si="4"/>
        <v>148</v>
      </c>
      <c r="C162" s="128" t="str">
        <f>+IFERROR(INDEX(Hoja1!$A$2:$A$82,MATCH(J162,Hoja1!$H$2:$H$82,0)),"")</f>
        <v/>
      </c>
      <c r="D162" s="129" t="str">
        <f>IFERROR(VLOOKUP(C162,Hoja1!$A$2:$H$82,4,0),"")</f>
        <v/>
      </c>
      <c r="E162" s="129" t="str">
        <f>+IFERROR(VLOOKUP(C162,Hoja1!$A$1:$J$82,10,0),"")</f>
        <v/>
      </c>
      <c r="F162" s="129" t="str">
        <f>+IFERROR(VLOOKUP(C162,Hoja1!$A$1:$I$82,3,0),"")</f>
        <v/>
      </c>
      <c r="G162" s="128" t="str">
        <f>+IFERROR(VLOOKUP(C162,Hoja1!$A$1:$K$82,11,0),"")</f>
        <v/>
      </c>
      <c r="H162" s="130" t="str">
        <f>+IFERROR(VLOOKUP(C162,Hoja1!$A$1:$L$82,12,0),"")</f>
        <v/>
      </c>
      <c r="I162" s="50"/>
      <c r="J162" s="79">
        <v>148</v>
      </c>
      <c r="K162" s="78"/>
      <c r="M162" s="76"/>
      <c r="N162" s="54"/>
      <c r="O162" s="54"/>
      <c r="P162" s="54"/>
      <c r="Q162" s="54"/>
      <c r="R162" s="54"/>
      <c r="S162" s="54"/>
    </row>
    <row r="163" spans="2:19" s="46" customFormat="1" ht="99.75" customHeight="1" x14ac:dyDescent="0.2">
      <c r="B163" s="127">
        <f t="shared" si="4"/>
        <v>149</v>
      </c>
      <c r="C163" s="128" t="str">
        <f>+IFERROR(INDEX(Hoja1!$A$2:$A$82,MATCH(J163,Hoja1!$H$2:$H$82,0)),"")</f>
        <v/>
      </c>
      <c r="D163" s="129" t="str">
        <f>IFERROR(VLOOKUP(C163,Hoja1!$A$2:$H$82,4,0),"")</f>
        <v/>
      </c>
      <c r="E163" s="129" t="str">
        <f>+IFERROR(VLOOKUP(C163,Hoja1!$A$1:$J$82,10,0),"")</f>
        <v/>
      </c>
      <c r="F163" s="129" t="str">
        <f>+IFERROR(VLOOKUP(C163,Hoja1!$A$1:$I$82,3,0),"")</f>
        <v/>
      </c>
      <c r="G163" s="128" t="str">
        <f>+IFERROR(VLOOKUP(C163,Hoja1!$A$1:$K$82,11,0),"")</f>
        <v/>
      </c>
      <c r="H163" s="130" t="str">
        <f>+IFERROR(VLOOKUP(C163,Hoja1!$A$1:$L$82,12,0),"")</f>
        <v/>
      </c>
      <c r="I163" s="50"/>
      <c r="J163" s="79">
        <v>149</v>
      </c>
      <c r="K163" s="78"/>
      <c r="M163" s="76"/>
      <c r="N163" s="54"/>
      <c r="O163" s="54"/>
      <c r="P163" s="54"/>
      <c r="Q163" s="54"/>
      <c r="R163" s="54"/>
      <c r="S163" s="54"/>
    </row>
    <row r="164" spans="2:19" s="46" customFormat="1" ht="99.75" customHeight="1" thickBot="1" x14ac:dyDescent="0.25">
      <c r="B164" s="132">
        <f t="shared" si="4"/>
        <v>150</v>
      </c>
      <c r="C164" s="133" t="str">
        <f>+IFERROR(INDEX(Hoja1!$A$2:$A$82,MATCH(J164,Hoja1!$H$2:$H$82,0)),"")</f>
        <v/>
      </c>
      <c r="D164" s="134" t="str">
        <f>IFERROR(VLOOKUP(C164,Hoja1!$A$2:$H$82,4,0),"")</f>
        <v/>
      </c>
      <c r="E164" s="134" t="str">
        <f>+IFERROR(VLOOKUP(C164,Hoja1!$A$1:$J$82,10,0),"")</f>
        <v/>
      </c>
      <c r="F164" s="134" t="str">
        <f>+IFERROR(VLOOKUP(C164,Hoja1!$A$1:$I$82,3,0),"")</f>
        <v/>
      </c>
      <c r="G164" s="133" t="str">
        <f>+IFERROR(VLOOKUP(C164,Hoja1!$A$1:$K$82,11,0),"")</f>
        <v/>
      </c>
      <c r="H164" s="135" t="str">
        <f>+IFERROR(VLOOKUP(C164,Hoja1!$A$1:$L$82,12,0),"")</f>
        <v/>
      </c>
      <c r="I164" s="51"/>
      <c r="J164" s="79">
        <v>150</v>
      </c>
      <c r="K164" s="78"/>
      <c r="M164" s="76"/>
      <c r="N164" s="54"/>
      <c r="O164" s="54"/>
      <c r="P164" s="54"/>
      <c r="Q164" s="54"/>
      <c r="R164" s="54"/>
      <c r="S164" s="54"/>
    </row>
  </sheetData>
  <sheetProtection password="D72A" sheet="1" objects="1" scenarios="1" formatCells="0" formatColumns="0" formatRows="0"/>
  <mergeCells count="31">
    <mergeCell ref="K13:K14"/>
    <mergeCell ref="B9:C9"/>
    <mergeCell ref="H13:H14"/>
    <mergeCell ref="F10:G10"/>
    <mergeCell ref="F9:G9"/>
    <mergeCell ref="B11:I11"/>
    <mergeCell ref="B13:B14"/>
    <mergeCell ref="C13:F13"/>
    <mergeCell ref="G13:G14"/>
    <mergeCell ref="I13:I14"/>
    <mergeCell ref="L68:L81"/>
    <mergeCell ref="L82:L95"/>
    <mergeCell ref="B8:C8"/>
    <mergeCell ref="D8:E8"/>
    <mergeCell ref="B4:L4"/>
    <mergeCell ref="B6:C6"/>
    <mergeCell ref="D6:E6"/>
    <mergeCell ref="B7:C7"/>
    <mergeCell ref="D7:E7"/>
    <mergeCell ref="F6:G6"/>
    <mergeCell ref="F7:G7"/>
    <mergeCell ref="F8:G8"/>
    <mergeCell ref="D9:E9"/>
    <mergeCell ref="B10:C10"/>
    <mergeCell ref="D10:E10"/>
    <mergeCell ref="L13:L14"/>
    <mergeCell ref="N13:S13"/>
    <mergeCell ref="M13:M14"/>
    <mergeCell ref="L15:L38"/>
    <mergeCell ref="L39:L55"/>
    <mergeCell ref="L56:L67"/>
  </mergeCells>
  <conditionalFormatting sqref="C15">
    <cfRule type="cellIs" dxfId="50" priority="34" operator="equal">
      <formula>$I$15</formula>
    </cfRule>
    <cfRule type="cellIs" dxfId="49" priority="35" operator="equal">
      <formula>$I$15</formula>
    </cfRule>
  </conditionalFormatting>
  <conditionalFormatting sqref="K15:K92">
    <cfRule type="cellIs" dxfId="48" priority="19" operator="equal">
      <formula>$I$7</formula>
    </cfRule>
    <cfRule type="cellIs" dxfId="47" priority="20" operator="equal">
      <formula>$I$8</formula>
    </cfRule>
    <cfRule type="cellIs" dxfId="46" priority="21" operator="equal">
      <formula>$I$9</formula>
    </cfRule>
    <cfRule type="cellIs" dxfId="45" priority="22" operator="between">
      <formula>0</formula>
      <formula>$I$10</formula>
    </cfRule>
  </conditionalFormatting>
  <conditionalFormatting sqref="L15 L39 L56 L68 L82">
    <cfRule type="cellIs" dxfId="44" priority="15" operator="between">
      <formula>0.76</formula>
      <formula>1</formula>
    </cfRule>
    <cfRule type="cellIs" dxfId="43" priority="16" operator="between">
      <formula>0.51</formula>
      <formula>0.75</formula>
    </cfRule>
    <cfRule type="cellIs" dxfId="42" priority="17" operator="between">
      <formula>0.26</formula>
      <formula>0.5</formula>
    </cfRule>
    <cfRule type="cellIs" dxfId="41" priority="18" operator="between">
      <formula>0</formula>
      <formula>0.25</formula>
    </cfRule>
  </conditionalFormatting>
  <conditionalFormatting sqref="K93:K95">
    <cfRule type="cellIs" dxfId="40" priority="6" operator="equal">
      <formula>$I$7</formula>
    </cfRule>
    <cfRule type="cellIs" dxfId="39" priority="7" operator="equal">
      <formula>$I$8</formula>
    </cfRule>
    <cfRule type="cellIs" dxfId="38" priority="8" operator="equal">
      <formula>$I$9</formula>
    </cfRule>
    <cfRule type="cellIs" dxfId="37" priority="9" operator="between">
      <formula>0</formula>
      <formula>$I$10</formula>
    </cfRule>
  </conditionalFormatting>
  <dataValidations count="1">
    <dataValidation allowBlank="1" showInputMessage="1" showErrorMessage="1" error="Por favor seleccione el id de requerimiento de la lista desplegable." sqref="C15:C164"/>
  </dataValidations>
  <pageMargins left="0.7" right="0.7" top="0.75" bottom="0.75" header="0.3" footer="0.3"/>
  <pageSetup orientation="portrait" r:id="rId1"/>
  <ignoredErrors>
    <ignoredError sqref="G16:H164 K15:K89 K90:K91 K92:K95 L82 L56 L39 L15 L12:L14 L16:L38 L40:L55 L57:L81" unlockedFormula="1"/>
  </ignoredErrors>
  <extLst>
    <ext xmlns:x14="http://schemas.microsoft.com/office/spreadsheetml/2009/9/main" uri="{78C0D931-6437-407d-A8EE-F0AAD7539E65}">
      <x14:conditionalFormattings>
        <x14:conditionalFormatting xmlns:xm="http://schemas.microsoft.com/office/excel/2006/main">
          <x14:cfRule type="containsText" priority="28" operator="containsText" id="{065BEF5A-59AA-4867-A00F-D2B5DB8E7DCC}">
            <xm:f>NOT(ISERROR(SEARCH($H$8,I15)))</xm:f>
            <xm:f>$H$8</xm:f>
            <x14:dxf>
              <fill>
                <patternFill>
                  <bgColor rgb="FF92D050"/>
                </patternFill>
              </fill>
            </x14:dxf>
          </x14:cfRule>
          <x14:cfRule type="containsText" priority="29" operator="containsText" id="{8D8F3268-9D72-481F-BF74-B93D54DCBBC0}">
            <xm:f>NOT(ISERROR(SEARCH($F$7,I15)))</xm:f>
            <xm:f>$F$7</xm:f>
            <x14:dxf>
              <fill>
                <patternFill>
                  <bgColor rgb="FF00B050"/>
                </patternFill>
              </fill>
            </x14:dxf>
          </x14:cfRule>
          <x14:cfRule type="containsText" priority="30" operator="containsText" id="{1334A9F6-A3BB-4CAE-B3E9-5DFB7F64BFA3}">
            <xm:f>NOT(ISERROR(SEARCH($F$8,I15)))</xm:f>
            <xm:f>$F$8</xm:f>
            <x14:dxf>
              <fill>
                <patternFill>
                  <bgColor rgb="FF00B0F0"/>
                </patternFill>
              </fill>
            </x14:dxf>
          </x14:cfRule>
          <x14:cfRule type="containsText" priority="31" operator="containsText" id="{A3CFC4D7-ADD0-45A5-AC4E-172F58E9E0B2}">
            <xm:f>NOT(ISERROR(SEARCH($F$9,I15)))</xm:f>
            <xm:f>$F$9</xm:f>
            <x14:dxf>
              <fill>
                <patternFill>
                  <bgColor rgb="FFFFFF00"/>
                </patternFill>
              </fill>
            </x14:dxf>
          </x14:cfRule>
          <x14:cfRule type="containsText" priority="32" operator="containsText" id="{89E903F4-11B9-438B-924A-4FBDD1E2A93C}">
            <xm:f>NOT(ISERROR(SEARCH($F$10,I15)))</xm:f>
            <xm:f>$F$10</xm:f>
            <x14:dxf>
              <fill>
                <patternFill>
                  <bgColor rgb="FFFF0000"/>
                </patternFill>
              </fill>
            </x14:dxf>
          </x14:cfRule>
          <xm:sqref>I15</xm:sqref>
        </x14:conditionalFormatting>
        <x14:conditionalFormatting xmlns:xm="http://schemas.microsoft.com/office/excel/2006/main">
          <x14:cfRule type="containsText" priority="1" operator="containsText" id="{5E2F26C5-CF1D-4EC6-BBEF-362A038FC912}">
            <xm:f>NOT(ISERROR(SEARCH($H$8,I16)))</xm:f>
            <xm:f>$H$8</xm:f>
            <x14:dxf>
              <fill>
                <patternFill>
                  <bgColor rgb="FF92D050"/>
                </patternFill>
              </fill>
            </x14:dxf>
          </x14:cfRule>
          <x14:cfRule type="containsText" priority="2" operator="containsText" id="{0224A7CA-1E76-4F4F-A8C5-40297882330D}">
            <xm:f>NOT(ISERROR(SEARCH($F$7,I16)))</xm:f>
            <xm:f>$F$7</xm:f>
            <x14:dxf>
              <fill>
                <patternFill>
                  <bgColor rgb="FF00B050"/>
                </patternFill>
              </fill>
            </x14:dxf>
          </x14:cfRule>
          <x14:cfRule type="containsText" priority="3" operator="containsText" id="{0E8AB5C2-6A6C-4527-B832-E0C6EBC38C20}">
            <xm:f>NOT(ISERROR(SEARCH($F$8,I16)))</xm:f>
            <xm:f>$F$8</xm:f>
            <x14:dxf>
              <fill>
                <patternFill>
                  <bgColor rgb="FF00B0F0"/>
                </patternFill>
              </fill>
            </x14:dxf>
          </x14:cfRule>
          <x14:cfRule type="containsText" priority="4" operator="containsText" id="{C640A1DB-4AF0-46BD-A428-31AC18045175}">
            <xm:f>NOT(ISERROR(SEARCH($F$9,I16)))</xm:f>
            <xm:f>$F$9</xm:f>
            <x14:dxf>
              <fill>
                <patternFill>
                  <bgColor rgb="FFFFFF00"/>
                </patternFill>
              </fill>
            </x14:dxf>
          </x14:cfRule>
          <x14:cfRule type="containsText" priority="5" operator="containsText" id="{19CC59A2-16AE-491B-8AEA-184D76FD7C64}">
            <xm:f>NOT(ISERROR(SEARCH($F$10,I16)))</xm:f>
            <xm:f>$F$10</xm:f>
            <x14:dxf>
              <fill>
                <patternFill>
                  <bgColor rgb="FFFF0000"/>
                </patternFill>
              </fill>
            </x14:dxf>
          </x14:cfRule>
          <xm:sqref>I16:I95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8"/>
  <sheetViews>
    <sheetView tabSelected="1" zoomScale="55" zoomScaleNormal="55" workbookViewId="0">
      <selection activeCell="M33" sqref="M33"/>
    </sheetView>
  </sheetViews>
  <sheetFormatPr baseColWidth="10" defaultColWidth="11.42578125" defaultRowHeight="12.75" x14ac:dyDescent="0.2"/>
  <cols>
    <col min="1" max="1" width="3.140625" style="30" customWidth="1"/>
    <col min="2" max="2" width="3.42578125" style="30" customWidth="1"/>
    <col min="3" max="3" width="35.5703125" style="30" customWidth="1"/>
    <col min="4" max="4" width="2.5703125" style="30" customWidth="1"/>
    <col min="5" max="5" width="38.7109375" style="30" customWidth="1"/>
    <col min="6" max="6" width="10.85546875" style="30" customWidth="1"/>
    <col min="7" max="7" width="23.42578125" style="30" customWidth="1"/>
    <col min="8" max="8" width="7.5703125" style="30" customWidth="1"/>
    <col min="9" max="9" width="159.28515625" style="30" customWidth="1"/>
    <col min="10" max="10" width="5.85546875" style="30" customWidth="1"/>
    <col min="11" max="11" width="28.140625" style="30" customWidth="1"/>
    <col min="12" max="12" width="4.28515625" style="30" customWidth="1"/>
    <col min="13" max="13" width="126.5703125" style="174" customWidth="1"/>
    <col min="14" max="14" width="5.85546875" style="30" customWidth="1"/>
    <col min="15" max="15" width="21" style="30" customWidth="1"/>
    <col min="16" max="16" width="7" style="30" customWidth="1"/>
    <col min="17" max="16384" width="11.42578125" style="30"/>
  </cols>
  <sheetData>
    <row r="1" spans="2:16" ht="13.5" thickBot="1" x14ac:dyDescent="0.25"/>
    <row r="2" spans="2:16" ht="18" customHeight="1" thickTop="1" x14ac:dyDescent="0.2">
      <c r="B2" s="26"/>
      <c r="C2" s="27"/>
      <c r="D2" s="27"/>
      <c r="E2" s="27"/>
      <c r="F2" s="27"/>
      <c r="G2" s="27"/>
      <c r="H2" s="27"/>
      <c r="I2" s="27"/>
      <c r="J2" s="27"/>
      <c r="K2" s="27"/>
      <c r="L2" s="27"/>
      <c r="M2" s="175"/>
      <c r="N2" s="27"/>
      <c r="O2" s="27"/>
      <c r="P2" s="28"/>
    </row>
    <row r="3" spans="2:16" ht="18" customHeight="1" x14ac:dyDescent="0.3">
      <c r="B3" s="29"/>
      <c r="E3" s="688" t="s">
        <v>361</v>
      </c>
      <c r="F3" s="684" t="s">
        <v>362</v>
      </c>
      <c r="G3" s="684"/>
      <c r="H3" s="684"/>
      <c r="I3" s="684"/>
      <c r="J3" s="684"/>
      <c r="K3" s="684"/>
      <c r="L3" s="684"/>
      <c r="M3" s="684"/>
      <c r="N3" s="158"/>
      <c r="O3" s="158"/>
      <c r="P3" s="31"/>
    </row>
    <row r="4" spans="2:16" ht="18" customHeight="1" x14ac:dyDescent="0.3">
      <c r="B4" s="29"/>
      <c r="E4" s="689"/>
      <c r="F4" s="684"/>
      <c r="G4" s="684"/>
      <c r="H4" s="684"/>
      <c r="I4" s="684"/>
      <c r="J4" s="684"/>
      <c r="K4" s="684"/>
      <c r="L4" s="684"/>
      <c r="M4" s="684"/>
      <c r="N4" s="158"/>
      <c r="O4" s="158"/>
      <c r="P4" s="31"/>
    </row>
    <row r="5" spans="2:16" ht="41.25" customHeight="1" x14ac:dyDescent="0.3">
      <c r="B5" s="29"/>
      <c r="E5" s="183" t="s">
        <v>363</v>
      </c>
      <c r="F5" s="685" t="s">
        <v>759</v>
      </c>
      <c r="G5" s="686"/>
      <c r="H5" s="686"/>
      <c r="I5" s="686"/>
      <c r="J5" s="686"/>
      <c r="K5" s="686"/>
      <c r="L5" s="686"/>
      <c r="M5" s="687"/>
      <c r="N5" s="159"/>
      <c r="O5" s="159"/>
      <c r="P5" s="31"/>
    </row>
    <row r="6" spans="2:16" ht="18" customHeight="1" thickBot="1" x14ac:dyDescent="0.35">
      <c r="B6" s="29"/>
      <c r="E6" s="56"/>
      <c r="F6" s="159"/>
      <c r="G6" s="159"/>
      <c r="H6" s="159"/>
      <c r="I6" s="159"/>
      <c r="J6" s="159"/>
      <c r="K6" s="159"/>
      <c r="L6" s="159"/>
      <c r="P6" s="31"/>
    </row>
    <row r="7" spans="2:16" ht="93" customHeight="1" thickBot="1" x14ac:dyDescent="0.25">
      <c r="B7" s="29"/>
      <c r="I7" s="690" t="s">
        <v>364</v>
      </c>
      <c r="J7" s="691"/>
      <c r="K7" s="692"/>
      <c r="M7" s="145">
        <f>+AVERAGE(G25,G27,G29,G31,G33)</f>
        <v>0.98184523809523816</v>
      </c>
      <c r="N7" s="64"/>
      <c r="O7" s="64"/>
      <c r="P7" s="31"/>
    </row>
    <row r="8" spans="2:16" ht="18" customHeight="1" x14ac:dyDescent="0.25">
      <c r="B8" s="29"/>
      <c r="M8" s="176"/>
      <c r="N8" s="58"/>
      <c r="O8" s="58"/>
      <c r="P8" s="31"/>
    </row>
    <row r="9" spans="2:16" ht="18" customHeight="1" x14ac:dyDescent="0.2">
      <c r="B9" s="29"/>
      <c r="P9" s="31"/>
    </row>
    <row r="10" spans="2:16" x14ac:dyDescent="0.2">
      <c r="B10" s="29"/>
      <c r="P10" s="31"/>
    </row>
    <row r="11" spans="2:16" x14ac:dyDescent="0.2">
      <c r="B11" s="29"/>
      <c r="P11" s="31"/>
    </row>
    <row r="12" spans="2:16" x14ac:dyDescent="0.2">
      <c r="B12" s="29"/>
      <c r="P12" s="31"/>
    </row>
    <row r="13" spans="2:16" x14ac:dyDescent="0.2">
      <c r="B13" s="29"/>
      <c r="P13" s="31"/>
    </row>
    <row r="14" spans="2:16" x14ac:dyDescent="0.2">
      <c r="B14" s="29"/>
      <c r="P14" s="31"/>
    </row>
    <row r="15" spans="2:16" x14ac:dyDescent="0.2">
      <c r="B15" s="29"/>
      <c r="P15" s="31"/>
    </row>
    <row r="16" spans="2:16" x14ac:dyDescent="0.2">
      <c r="B16" s="29"/>
      <c r="P16" s="31"/>
    </row>
    <row r="17" spans="2:22" ht="23.25" x14ac:dyDescent="0.2">
      <c r="B17" s="29"/>
      <c r="C17" s="676" t="s">
        <v>365</v>
      </c>
      <c r="D17" s="677"/>
      <c r="E17" s="677"/>
      <c r="F17" s="677"/>
      <c r="G17" s="677"/>
      <c r="H17" s="677"/>
      <c r="I17" s="677"/>
      <c r="J17" s="677"/>
      <c r="K17" s="677"/>
      <c r="L17" s="677"/>
      <c r="M17" s="678"/>
      <c r="N17" s="65"/>
      <c r="O17" s="65"/>
      <c r="P17" s="31"/>
    </row>
    <row r="18" spans="2:22" ht="15.75" customHeight="1" x14ac:dyDescent="0.2">
      <c r="B18" s="29"/>
      <c r="C18" s="32"/>
      <c r="D18" s="32"/>
      <c r="E18" s="32"/>
      <c r="F18" s="32"/>
      <c r="G18" s="32"/>
      <c r="H18" s="32"/>
      <c r="I18" s="32"/>
      <c r="J18" s="32"/>
      <c r="K18" s="32"/>
      <c r="L18" s="32"/>
      <c r="M18" s="32"/>
      <c r="N18" s="36"/>
      <c r="O18" s="36"/>
      <c r="P18" s="31"/>
    </row>
    <row r="19" spans="2:22" ht="141.75" customHeight="1" x14ac:dyDescent="0.2">
      <c r="B19" s="29"/>
      <c r="C19" s="679" t="s">
        <v>366</v>
      </c>
      <c r="D19" s="680"/>
      <c r="E19" s="146" t="s">
        <v>367</v>
      </c>
      <c r="F19" s="681" t="s">
        <v>756</v>
      </c>
      <c r="G19" s="682"/>
      <c r="H19" s="682"/>
      <c r="I19" s="682"/>
      <c r="J19" s="682"/>
      <c r="K19" s="682"/>
      <c r="L19" s="682"/>
      <c r="M19" s="683"/>
      <c r="N19" s="60"/>
      <c r="O19" s="60"/>
      <c r="P19" s="31"/>
    </row>
    <row r="20" spans="2:22" ht="172.15" customHeight="1" x14ac:dyDescent="0.2">
      <c r="B20" s="29"/>
      <c r="C20" s="679" t="s">
        <v>368</v>
      </c>
      <c r="D20" s="680"/>
      <c r="E20" s="146" t="s">
        <v>367</v>
      </c>
      <c r="F20" s="681" t="s">
        <v>757</v>
      </c>
      <c r="G20" s="682"/>
      <c r="H20" s="682"/>
      <c r="I20" s="682"/>
      <c r="J20" s="682"/>
      <c r="K20" s="682"/>
      <c r="L20" s="682"/>
      <c r="M20" s="683"/>
      <c r="N20" s="60"/>
      <c r="O20" s="60"/>
      <c r="P20" s="31"/>
    </row>
    <row r="21" spans="2:22" ht="143.25" customHeight="1" x14ac:dyDescent="0.2">
      <c r="B21" s="29"/>
      <c r="C21" s="674" t="s">
        <v>369</v>
      </c>
      <c r="D21" s="675"/>
      <c r="E21" s="146" t="s">
        <v>367</v>
      </c>
      <c r="F21" s="681" t="s">
        <v>758</v>
      </c>
      <c r="G21" s="682"/>
      <c r="H21" s="682"/>
      <c r="I21" s="682"/>
      <c r="J21" s="682"/>
      <c r="K21" s="682"/>
      <c r="L21" s="682"/>
      <c r="M21" s="683"/>
      <c r="N21" s="60"/>
      <c r="O21" s="60"/>
      <c r="P21" s="31"/>
    </row>
    <row r="22" spans="2:22" ht="66" customHeight="1" thickBot="1" x14ac:dyDescent="0.25">
      <c r="B22" s="29"/>
      <c r="G22" s="59"/>
      <c r="P22" s="31"/>
    </row>
    <row r="23" spans="2:22" s="180" customFormat="1" ht="102.75" customHeight="1" thickBot="1" x14ac:dyDescent="0.35">
      <c r="B23" s="178"/>
      <c r="C23" s="192" t="s">
        <v>49</v>
      </c>
      <c r="D23" s="193"/>
      <c r="E23" s="192" t="s">
        <v>370</v>
      </c>
      <c r="F23" s="193"/>
      <c r="G23" s="192" t="s">
        <v>371</v>
      </c>
      <c r="H23" s="193"/>
      <c r="I23" s="194" t="s">
        <v>372</v>
      </c>
      <c r="J23" s="195"/>
      <c r="K23" s="196" t="s">
        <v>373</v>
      </c>
      <c r="L23" s="195"/>
      <c r="M23" s="197" t="s">
        <v>374</v>
      </c>
      <c r="N23" s="195"/>
      <c r="O23" s="198" t="s">
        <v>375</v>
      </c>
      <c r="P23" s="199"/>
      <c r="Q23" s="179"/>
    </row>
    <row r="24" spans="2:22" ht="6.75" customHeight="1" x14ac:dyDescent="0.35">
      <c r="B24" s="29"/>
      <c r="C24" s="105"/>
      <c r="D24"/>
      <c r="E24"/>
      <c r="F24"/>
      <c r="G24"/>
      <c r="H24"/>
      <c r="I24" s="63"/>
      <c r="J24"/>
      <c r="K24" s="63"/>
      <c r="L24"/>
      <c r="M24" s="2"/>
      <c r="N24"/>
      <c r="O24"/>
      <c r="P24" s="31"/>
    </row>
    <row r="25" spans="2:22" ht="396" customHeight="1" x14ac:dyDescent="0.2">
      <c r="B25" s="29"/>
      <c r="C25" s="106" t="s">
        <v>44</v>
      </c>
      <c r="D25" s="1"/>
      <c r="E25" s="184" t="str">
        <f>+IF(Hoja1!$N$2&gt;=0.5,"Si","No")</f>
        <v>Si</v>
      </c>
      <c r="F25" s="55"/>
      <c r="G25" s="186">
        <f>+Hoja1!N2</f>
        <v>0.96875</v>
      </c>
      <c r="H25" s="55"/>
      <c r="I25" s="200" t="s">
        <v>761</v>
      </c>
      <c r="J25" s="62"/>
      <c r="K25" s="188">
        <v>0.97</v>
      </c>
      <c r="L25" s="52"/>
      <c r="M25" s="200" t="s">
        <v>527</v>
      </c>
      <c r="N25" s="61"/>
      <c r="O25" s="190">
        <f>G25-K25</f>
        <v>-1.2499999999999734E-3</v>
      </c>
      <c r="P25" s="33"/>
      <c r="Q25" s="35"/>
      <c r="R25" s="35"/>
      <c r="S25" s="35"/>
      <c r="T25" s="35"/>
      <c r="U25" s="35"/>
      <c r="V25" s="35"/>
    </row>
    <row r="26" spans="2:22" ht="16.5" hidden="1" customHeight="1" x14ac:dyDescent="0.35">
      <c r="B26" s="29"/>
      <c r="C26" s="105"/>
      <c r="D26"/>
      <c r="E26" s="185"/>
      <c r="F26"/>
      <c r="G26" s="187"/>
      <c r="H26"/>
      <c r="I26" s="201"/>
      <c r="J26"/>
      <c r="K26" s="189"/>
      <c r="L26"/>
      <c r="M26" s="205"/>
      <c r="N26" s="3"/>
      <c r="O26" s="191"/>
      <c r="P26" s="31"/>
    </row>
    <row r="27" spans="2:22" ht="390.75" customHeight="1" x14ac:dyDescent="0.2">
      <c r="B27" s="29"/>
      <c r="C27" s="107" t="s">
        <v>376</v>
      </c>
      <c r="D27" s="1"/>
      <c r="E27" s="184" t="str">
        <f>+IF(Hoja1!$N$26&gt;=0.5,"Si","No")</f>
        <v>Si</v>
      </c>
      <c r="F27"/>
      <c r="G27" s="186">
        <f>+Hoja1!N26</f>
        <v>1</v>
      </c>
      <c r="H27"/>
      <c r="I27" s="202" t="s">
        <v>762</v>
      </c>
      <c r="J27"/>
      <c r="K27" s="188">
        <v>1</v>
      </c>
      <c r="L27" s="53"/>
      <c r="M27" s="202" t="s">
        <v>526</v>
      </c>
      <c r="N27" s="61"/>
      <c r="O27" s="190">
        <f>G27-K27</f>
        <v>0</v>
      </c>
      <c r="P27" s="31"/>
    </row>
    <row r="28" spans="2:22" ht="6.75" hidden="1" customHeight="1" x14ac:dyDescent="0.35">
      <c r="B28" s="29"/>
      <c r="C28" s="105"/>
      <c r="D28"/>
      <c r="E28" s="185"/>
      <c r="F28"/>
      <c r="G28" s="187"/>
      <c r="H28"/>
      <c r="I28" s="201"/>
      <c r="J28"/>
      <c r="K28" s="189"/>
      <c r="L28"/>
      <c r="M28" s="206"/>
      <c r="N28" s="3"/>
      <c r="O28" s="191"/>
      <c r="P28" s="31"/>
    </row>
    <row r="29" spans="2:22" ht="362.25" customHeight="1" x14ac:dyDescent="0.2">
      <c r="B29" s="29"/>
      <c r="C29" s="108" t="s">
        <v>377</v>
      </c>
      <c r="D29" s="1"/>
      <c r="E29" s="184" t="str">
        <f>+IF(Hoja1!$N$43&gt;=0.5,"Si","No")</f>
        <v>Si</v>
      </c>
      <c r="F29"/>
      <c r="G29" s="186">
        <f>+Hoja1!N43</f>
        <v>0.95833333333333337</v>
      </c>
      <c r="H29"/>
      <c r="I29" s="203" t="s">
        <v>763</v>
      </c>
      <c r="J29"/>
      <c r="K29" s="188">
        <v>0.96</v>
      </c>
      <c r="L29" s="53"/>
      <c r="M29" s="203" t="s">
        <v>522</v>
      </c>
      <c r="N29" s="61"/>
      <c r="O29" s="190">
        <f>G29-K29</f>
        <v>-1.6666666666665941E-3</v>
      </c>
      <c r="P29" s="31"/>
    </row>
    <row r="30" spans="2:22" ht="6.75" customHeight="1" x14ac:dyDescent="0.35">
      <c r="B30" s="29"/>
      <c r="C30" s="105"/>
      <c r="D30"/>
      <c r="E30" s="185"/>
      <c r="F30"/>
      <c r="G30" s="187"/>
      <c r="H30"/>
      <c r="I30" s="201"/>
      <c r="J30"/>
      <c r="K30" s="189"/>
      <c r="L30"/>
      <c r="M30" s="206"/>
      <c r="N30" s="3"/>
      <c r="O30" s="191"/>
      <c r="P30" s="31"/>
    </row>
    <row r="31" spans="2:22" ht="325.5" customHeight="1" x14ac:dyDescent="0.2">
      <c r="B31" s="29"/>
      <c r="C31" s="109" t="s">
        <v>378</v>
      </c>
      <c r="D31" s="1"/>
      <c r="E31" s="184" t="str">
        <f>+IF(Hoja1!$N$55&gt;=0.5,"Si","No")</f>
        <v>Si</v>
      </c>
      <c r="F31"/>
      <c r="G31" s="186">
        <f>+Hoja1!N55</f>
        <v>1</v>
      </c>
      <c r="H31"/>
      <c r="I31" s="203" t="s">
        <v>764</v>
      </c>
      <c r="J31"/>
      <c r="K31" s="188">
        <v>1</v>
      </c>
      <c r="L31" s="53"/>
      <c r="M31" s="203" t="s">
        <v>523</v>
      </c>
      <c r="N31" s="61"/>
      <c r="O31" s="190">
        <f>G31-K31</f>
        <v>0</v>
      </c>
      <c r="P31" s="31"/>
    </row>
    <row r="32" spans="2:22" ht="18" customHeight="1" x14ac:dyDescent="0.35">
      <c r="B32" s="29"/>
      <c r="C32" s="105"/>
      <c r="D32"/>
      <c r="E32" s="185"/>
      <c r="F32"/>
      <c r="G32" s="187"/>
      <c r="H32"/>
      <c r="I32" s="201"/>
      <c r="J32"/>
      <c r="K32" s="189"/>
      <c r="L32"/>
      <c r="M32" s="206"/>
      <c r="N32" s="3"/>
      <c r="O32" s="191"/>
      <c r="P32" s="31"/>
    </row>
    <row r="33" spans="2:16" ht="312" customHeight="1" thickBot="1" x14ac:dyDescent="0.25">
      <c r="B33" s="29"/>
      <c r="C33" s="110" t="s">
        <v>379</v>
      </c>
      <c r="D33" s="1"/>
      <c r="E33" s="184" t="str">
        <f>+IF(Hoja1!$N$69&gt;=0.5,"Si","No")</f>
        <v>Si</v>
      </c>
      <c r="F33"/>
      <c r="G33" s="186">
        <f>+Hoja1!N69</f>
        <v>0.9821428571428571</v>
      </c>
      <c r="H33"/>
      <c r="I33" s="204" t="s">
        <v>765</v>
      </c>
      <c r="J33"/>
      <c r="K33" s="188">
        <v>0.98</v>
      </c>
      <c r="L33" s="53"/>
      <c r="M33" s="204" t="s">
        <v>524</v>
      </c>
      <c r="N33" s="61"/>
      <c r="O33" s="190">
        <f>G33-K33</f>
        <v>2.142857142857113E-3</v>
      </c>
      <c r="P33" s="31"/>
    </row>
    <row r="34" spans="2:16" ht="15.75" x14ac:dyDescent="0.2">
      <c r="B34" s="29"/>
      <c r="C34" s="34"/>
      <c r="D34" s="34"/>
      <c r="E34" s="36"/>
      <c r="M34" s="36"/>
      <c r="N34" s="37"/>
      <c r="O34" s="37"/>
      <c r="P34" s="31"/>
    </row>
    <row r="35" spans="2:16" ht="15.75" x14ac:dyDescent="0.2">
      <c r="B35" s="29"/>
      <c r="C35" s="38"/>
      <c r="D35" s="34"/>
      <c r="E35" s="36"/>
      <c r="M35" s="36"/>
      <c r="N35" s="37"/>
      <c r="O35" s="37"/>
      <c r="P35" s="31"/>
    </row>
    <row r="36" spans="2:16" x14ac:dyDescent="0.2">
      <c r="B36" s="29"/>
      <c r="C36" s="39"/>
      <c r="P36" s="31"/>
    </row>
    <row r="37" spans="2:16" ht="13.5" thickBot="1" x14ac:dyDescent="0.25">
      <c r="B37" s="40"/>
      <c r="C37" s="41"/>
      <c r="D37" s="41"/>
      <c r="E37" s="41"/>
      <c r="F37" s="41"/>
      <c r="G37" s="41"/>
      <c r="H37" s="41"/>
      <c r="I37" s="41"/>
      <c r="J37" s="41"/>
      <c r="K37" s="41"/>
      <c r="L37" s="41"/>
      <c r="M37" s="177"/>
      <c r="N37" s="41"/>
      <c r="O37" s="41"/>
      <c r="P37" s="42"/>
    </row>
    <row r="38" spans="2:16" ht="13.5" thickTop="1" x14ac:dyDescent="0.2"/>
  </sheetData>
  <sheetProtection password="D72A" sheet="1" objects="1" scenarios="1" formatCells="0" formatColumns="0" formatRows="0"/>
  <mergeCells count="11">
    <mergeCell ref="F3:M4"/>
    <mergeCell ref="F5:M5"/>
    <mergeCell ref="E3:E4"/>
    <mergeCell ref="C20:D20"/>
    <mergeCell ref="I7:K7"/>
    <mergeCell ref="C21:D21"/>
    <mergeCell ref="C17:M17"/>
    <mergeCell ref="C19:D19"/>
    <mergeCell ref="F19:M19"/>
    <mergeCell ref="F20:M20"/>
    <mergeCell ref="F21:M21"/>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allowBlank="1" showInputMessage="1" showErrorMessage="1" prompt="Celda formulada, información proveniente de la pestaña de deficiencias." sqref="E23"/>
    <dataValidation type="list" allowBlank="1" showInputMessage="1" showErrorMessage="1" sqref="N19:O19">
      <formula1>"Si,No"</formula1>
    </dataValidation>
    <dataValidation type="list" allowBlank="1" showInputMessage="1" showErrorMessage="1" sqref="N20:O20 E20:E21">
      <formula1>"Si, No"</formula1>
    </dataValidation>
    <dataValidation type="list" allowBlank="1" showInputMessage="1" showErrorMessage="1" sqref="E19">
      <formula1>"Si,No,En proceso"</formula1>
    </dataValidation>
  </dataValidations>
  <pageMargins left="0.7" right="0.7" top="0.75" bottom="0.75" header="0.3" footer="0.3"/>
  <pageSetup scale="22" fitToHeight="0" orientation="landscape" verticalDpi="300" r:id="rId1"/>
  <ignoredErrors>
    <ignoredError sqref="O27 O29 O31 O33" unlockedFormula="1"/>
  </ignoredErrors>
  <drawing r:id="rId2"/>
  <extLst>
    <ext xmlns:x14="http://schemas.microsoft.com/office/spreadsheetml/2009/9/main" uri="{78C0D931-6437-407d-A8EE-F0AAD7539E65}">
      <x14:conditionalFormattings>
        <x14:conditionalFormatting xmlns:xm="http://schemas.microsoft.com/office/excel/2006/main">
          <x14:cfRule type="cellIs" priority="28" operator="between" id="{AC1FC42B-E47F-4E28-8390-539A6FAE60AB}">
            <xm:f>0</xm:f>
            <xm:f>'Analisis de Resultados'!$I$10</xm:f>
            <x14:dxf>
              <fill>
                <patternFill>
                  <bgColor rgb="FFFF0000"/>
                </patternFill>
              </fill>
            </x14:dxf>
          </x14:cfRule>
          <xm:sqref>G25 G27 G29 G31 G33</xm:sqref>
        </x14:conditionalFormatting>
        <x14:conditionalFormatting xmlns:xm="http://schemas.microsoft.com/office/excel/2006/main">
          <x14:cfRule type="cellIs" priority="20" operator="between" id="{89B62F38-33F9-4807-A37E-FBE5EDA20BAD}">
            <xm:f>0</xm:f>
            <xm:f>'Analisis de Resultados'!$I$10</xm:f>
            <x14:dxf>
              <fill>
                <patternFill>
                  <bgColor rgb="FFFF0000"/>
                </patternFill>
              </fill>
            </x14:dxf>
          </x14:cfRule>
          <xm:sqref>K25</xm:sqref>
        </x14:conditionalFormatting>
        <x14:conditionalFormatting xmlns:xm="http://schemas.microsoft.com/office/excel/2006/main">
          <x14:cfRule type="cellIs" priority="16" operator="between" id="{74414D1A-6CA0-411B-BC54-8950C1BC70EC}">
            <xm:f>0</xm:f>
            <xm:f>'Analisis de Resultados'!$I$10</xm:f>
            <x14:dxf>
              <fill>
                <patternFill>
                  <bgColor rgb="FFFF0000"/>
                </patternFill>
              </fill>
            </x14:dxf>
          </x14:cfRule>
          <xm:sqref>K27</xm:sqref>
        </x14:conditionalFormatting>
        <x14:conditionalFormatting xmlns:xm="http://schemas.microsoft.com/office/excel/2006/main">
          <x14:cfRule type="cellIs" priority="12" operator="between" id="{23BFD082-B5A8-477C-BAD4-23E9934FFB34}">
            <xm:f>0</xm:f>
            <xm:f>'Analisis de Resultados'!$I$10</xm:f>
            <x14:dxf>
              <fill>
                <patternFill>
                  <bgColor rgb="FFFF0000"/>
                </patternFill>
              </fill>
            </x14:dxf>
          </x14:cfRule>
          <xm:sqref>K29</xm:sqref>
        </x14:conditionalFormatting>
        <x14:conditionalFormatting xmlns:xm="http://schemas.microsoft.com/office/excel/2006/main">
          <x14:cfRule type="cellIs" priority="8" operator="between" id="{E4CB7794-8664-4CFE-B341-1D3ADC132036}">
            <xm:f>0</xm:f>
            <xm:f>'Analisis de Resultados'!$I$10</xm:f>
            <x14:dxf>
              <fill>
                <patternFill>
                  <bgColor rgb="FFFF0000"/>
                </patternFill>
              </fill>
            </x14:dxf>
          </x14:cfRule>
          <xm:sqref>K31</xm:sqref>
        </x14:conditionalFormatting>
        <x14:conditionalFormatting xmlns:xm="http://schemas.microsoft.com/office/excel/2006/main">
          <x14:cfRule type="cellIs" priority="4" operator="between" id="{0B82901D-DF36-435F-9E16-6E092395D406}">
            <xm:f>0</xm:f>
            <xm:f>'Analisis de Resultados'!$I$10</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Instructivo</vt:lpstr>
      <vt:lpstr>Definiciones</vt:lpstr>
      <vt:lpstr>Ambiente de Control</vt:lpstr>
      <vt:lpstr>Evaluación de riesgos</vt:lpstr>
      <vt:lpstr>Actividades de control</vt:lpstr>
      <vt:lpstr>Info y Comunicación</vt:lpstr>
      <vt:lpstr>Actividades de Monitoreo</vt:lpstr>
      <vt:lpstr>Analisis de Resultados</vt:lpstr>
      <vt:lpstr>Conclusiones</vt:lpstr>
      <vt:lpstr>Hoja1</vt:lpstr>
      <vt:lpstr>Conclusiones!Print_Area</vt:lpstr>
    </vt:vector>
  </TitlesOfParts>
  <Manager/>
  <Company>Ernst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Gomez</dc:creator>
  <cp:keywords/>
  <dc:description/>
  <cp:lastModifiedBy>Andres Julian Rodriguez Garcia</cp:lastModifiedBy>
  <cp:revision/>
  <dcterms:created xsi:type="dcterms:W3CDTF">2010-10-04T16:34:45Z</dcterms:created>
  <dcterms:modified xsi:type="dcterms:W3CDTF">2024-02-02T15:31:52Z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291514</vt:lpwstr>
  </property>
  <property fmtid="{D5CDD505-2E9C-101B-9397-08002B2CF9AE}" name="NXPowerLiteSettings" pid="3">
    <vt:lpwstr>C7000400038000</vt:lpwstr>
  </property>
  <property fmtid="{D5CDD505-2E9C-101B-9397-08002B2CF9AE}" name="NXPowerLiteVersion" pid="4">
    <vt:lpwstr>S10.0.0</vt:lpwstr>
  </property>
</Properties>
</file>